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drawings/drawing16.xml" ContentType="application/vnd.openxmlformats-officedocument.drawing+xml"/>
  <Override PartName="/xl/charts/chart26.xml" ContentType="application/vnd.openxmlformats-officedocument.drawingml.chart+xml"/>
  <Override PartName="/xl/drawings/drawing17.xml" ContentType="application/vnd.openxmlformats-officedocument.drawing+xml"/>
  <Override PartName="/xl/charts/chart27.xml" ContentType="application/vnd.openxmlformats-officedocument.drawingml.chart+xml"/>
  <Override PartName="/xl/drawings/drawing18.xml" ContentType="application/vnd.openxmlformats-officedocument.drawing+xml"/>
  <Override PartName="/xl/charts/chart28.xml" ContentType="application/vnd.openxmlformats-officedocument.drawingml.chart+xml"/>
  <Override PartName="/xl/drawings/drawing19.xml" ContentType="application/vnd.openxmlformats-officedocument.drawing+xml"/>
  <Override PartName="/xl/charts/chart29.xml" ContentType="application/vnd.openxmlformats-officedocument.drawingml.chart+xml"/>
  <Override PartName="/xl/drawings/drawing20.xml" ContentType="application/vnd.openxmlformats-officedocument.drawing+xml"/>
  <Override PartName="/xl/charts/chart30.xml" ContentType="application/vnd.openxmlformats-officedocument.drawingml.chart+xml"/>
  <Override PartName="/xl/drawings/drawing21.xml" ContentType="application/vnd.openxmlformats-officedocument.drawing+xml"/>
  <Override PartName="/xl/charts/chart31.xml" ContentType="application/vnd.openxmlformats-officedocument.drawingml.chart+xml"/>
  <Override PartName="/xl/drawings/drawing22.xml" ContentType="application/vnd.openxmlformats-officedocument.drawing+xml"/>
  <Override PartName="/xl/charts/chart32.xml" ContentType="application/vnd.openxmlformats-officedocument.drawingml.chart+xml"/>
  <Override PartName="/xl/drawings/drawing23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4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5.xml" ContentType="application/vnd.openxmlformats-officedocument.drawing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"/>
    </mc:Choice>
  </mc:AlternateContent>
  <xr:revisionPtr revIDLastSave="0" documentId="13_ncr:1_{E600AA25-0115-4B25-A72D-9FC056E1FEC0}" xr6:coauthVersionLast="47" xr6:coauthVersionMax="47" xr10:uidLastSave="{00000000-0000-0000-0000-000000000000}"/>
  <bookViews>
    <workbookView xWindow="-120" yWindow="-120" windowWidth="29040" windowHeight="15720" tabRatio="974" xr2:uid="{00000000-000D-0000-FFFF-FFFF00000000}"/>
  </bookViews>
  <sheets>
    <sheet name="22r" sheetId="81" r:id="rId1"/>
    <sheet name="21r" sheetId="76" r:id="rId2"/>
    <sheet name="20r" sheetId="73" r:id="rId3"/>
    <sheet name="19r" sheetId="69" r:id="rId4"/>
    <sheet name="18r" sheetId="63" r:id="rId5"/>
    <sheet name="17r" sheetId="64" r:id="rId6"/>
    <sheet name="16r" sheetId="65" r:id="rId7"/>
    <sheet name="15r" sheetId="66" r:id="rId8"/>
    <sheet name="15-21" sheetId="54" r:id="rId9"/>
    <sheet name="EKiZ" sheetId="45" r:id="rId10"/>
    <sheet name="a" sheetId="72" r:id="rId11"/>
    <sheet name="b" sheetId="67" r:id="rId12"/>
    <sheet name="c" sheetId="68" r:id="rId13"/>
    <sheet name="d" sheetId="29" r:id="rId14"/>
    <sheet name="e" sheetId="61" r:id="rId15"/>
    <sheet name="EZ2" sheetId="86" r:id="rId16"/>
    <sheet name="EZ1" sheetId="85" r:id="rId17"/>
    <sheet name="EZ" sheetId="51" r:id="rId18"/>
    <sheet name="1" sheetId="33" r:id="rId19"/>
    <sheet name="2" sheetId="31" r:id="rId20"/>
    <sheet name="3" sheetId="37" r:id="rId21"/>
    <sheet name="4" sheetId="36" r:id="rId22"/>
    <sheet name="5" sheetId="35" r:id="rId23"/>
    <sheet name="6" sheetId="34" r:id="rId24"/>
    <sheet name="7" sheetId="80" r:id="rId25"/>
    <sheet name="EK1" sheetId="87" r:id="rId26"/>
    <sheet name="EK" sheetId="50" r:id="rId27"/>
    <sheet name="I" sheetId="38" r:id="rId28"/>
    <sheet name="II" sheetId="44" r:id="rId29"/>
    <sheet name="III" sheetId="43" r:id="rId30"/>
    <sheet name="IV" sheetId="42" r:id="rId31"/>
    <sheet name="V" sheetId="41" r:id="rId32"/>
    <sheet name="VI" sheetId="40" r:id="rId33"/>
    <sheet name="VII" sheetId="79" r:id="rId34"/>
    <sheet name="z22" sheetId="82" r:id="rId35"/>
    <sheet name="z21" sheetId="77" r:id="rId36"/>
    <sheet name="z20" sheetId="74" r:id="rId37"/>
    <sheet name="z19" sheetId="71" r:id="rId38"/>
    <sheet name="z18" sheetId="56" r:id="rId39"/>
    <sheet name="z17" sheetId="57" r:id="rId40"/>
    <sheet name="z16" sheetId="58" r:id="rId41"/>
    <sheet name="z15" sheetId="60" r:id="rId42"/>
    <sheet name="P__" sheetId="28" r:id="rId43"/>
    <sheet name="W1" sheetId="83" r:id="rId44"/>
    <sheet name="W2" sheetId="84" r:id="rId45"/>
    <sheet name="01" sheetId="2" r:id="rId46"/>
    <sheet name="02" sheetId="3" r:id="rId47"/>
    <sheet name="03" sheetId="4" r:id="rId48"/>
    <sheet name="04" sheetId="5" r:id="rId49"/>
    <sheet name="05" sheetId="6" r:id="rId50"/>
    <sheet name="06" sheetId="7" r:id="rId51"/>
    <sheet name="07" sheetId="8" r:id="rId52"/>
    <sheet name="08" sheetId="9" r:id="rId53"/>
    <sheet name="09" sheetId="10" r:id="rId54"/>
    <sheet name="10" sheetId="11" r:id="rId55"/>
    <sheet name="11" sheetId="12" r:id="rId56"/>
    <sheet name="12" sheetId="13" r:id="rId57"/>
    <sheet name="13w62" sheetId="14" r:id="rId58"/>
    <sheet name="14" sheetId="15" r:id="rId59"/>
    <sheet name="15" sheetId="16" r:id="rId60"/>
    <sheet name="16w63" sheetId="25" r:id="rId61"/>
    <sheet name="17" sheetId="18" r:id="rId62"/>
    <sheet name="18" sheetId="19" r:id="rId63"/>
    <sheet name="19" sheetId="20" r:id="rId64"/>
    <sheet name="20" sheetId="21" r:id="rId65"/>
    <sheet name="21" sheetId="22" r:id="rId66"/>
    <sheet name="61w07" sheetId="23" r:id="rId67"/>
    <sheet name="62" sheetId="24" r:id="rId68"/>
    <sheet name="63" sheetId="17" r:id="rId69"/>
    <sheet name="64w20" sheetId="26" r:id="rId70"/>
    <sheet name="prz.z" sheetId="62" r:id="rId71"/>
    <sheet name="21f" sheetId="78" r:id="rId72"/>
    <sheet name="20f" sheetId="75" r:id="rId73"/>
    <sheet name="19f" sheetId="70" r:id="rId74"/>
    <sheet name="18form" sheetId="55" r:id="rId75"/>
  </sheets>
  <definedNames>
    <definedName name="_xlnm._FilterDatabase" localSheetId="28" hidden="1">II!$A$4:$H$25</definedName>
    <definedName name="_xlnm._FilterDatabase" localSheetId="42" hidden="1">P__!$W$3:$W$23</definedName>
    <definedName name="_ftn1" localSheetId="70">prz.z!$B$20</definedName>
    <definedName name="_ftnref1" localSheetId="70">prz.z!$B$13</definedName>
    <definedName name="page1" localSheetId="73">'19f'!$B$2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9" l="1"/>
  <c r="D21" i="81"/>
  <c r="D20" i="81"/>
  <c r="D19" i="81"/>
  <c r="D18" i="81"/>
  <c r="D17" i="81"/>
  <c r="H11" i="81"/>
  <c r="K11" i="81"/>
  <c r="O6" i="62"/>
  <c r="K7" i="81"/>
  <c r="H7" i="81"/>
  <c r="L25" i="45"/>
  <c r="I25" i="45"/>
  <c r="I18" i="45"/>
  <c r="G16" i="87"/>
  <c r="G15" i="87"/>
  <c r="G14" i="87"/>
  <c r="G13" i="87"/>
  <c r="G12" i="87"/>
  <c r="G11" i="87"/>
  <c r="G10" i="87"/>
  <c r="G9" i="87"/>
  <c r="G8" i="87"/>
  <c r="G7" i="87"/>
  <c r="L20" i="86"/>
  <c r="L18" i="86"/>
  <c r="L16" i="86"/>
  <c r="L12" i="86"/>
  <c r="L10" i="86"/>
  <c r="L9" i="86"/>
  <c r="L8" i="86"/>
  <c r="L7" i="86"/>
  <c r="L6" i="86"/>
  <c r="L19" i="86"/>
  <c r="L17" i="86"/>
  <c r="L15" i="86"/>
  <c r="L14" i="86"/>
  <c r="L13" i="86"/>
  <c r="L11" i="86"/>
  <c r="K6" i="86"/>
  <c r="K20" i="86"/>
  <c r="K19" i="86"/>
  <c r="K18" i="86"/>
  <c r="K17" i="86"/>
  <c r="K16" i="86"/>
  <c r="K15" i="86"/>
  <c r="K14" i="86"/>
  <c r="K13" i="86"/>
  <c r="K12" i="86"/>
  <c r="K11" i="86"/>
  <c r="K10" i="86"/>
  <c r="K9" i="86"/>
  <c r="K8" i="86"/>
  <c r="K7" i="86"/>
  <c r="G12" i="81"/>
  <c r="G11" i="81"/>
  <c r="G10" i="81"/>
  <c r="G9" i="81"/>
  <c r="G8" i="81"/>
  <c r="G7" i="81"/>
  <c r="G6" i="81"/>
  <c r="G6" i="85"/>
  <c r="G5" i="85"/>
  <c r="G14" i="85"/>
  <c r="G13" i="85"/>
  <c r="G12" i="85"/>
  <c r="G11" i="85"/>
  <c r="G10" i="85"/>
  <c r="G9" i="85"/>
  <c r="G8" i="85"/>
  <c r="G7" i="85"/>
  <c r="D17" i="76"/>
  <c r="B52" i="28"/>
  <c r="D17" i="84"/>
  <c r="D16" i="84"/>
  <c r="D15" i="84"/>
  <c r="D14" i="84"/>
  <c r="D13" i="84"/>
  <c r="D12" i="84"/>
  <c r="D11" i="84"/>
  <c r="C17" i="84"/>
  <c r="C16" i="84"/>
  <c r="C15" i="84"/>
  <c r="C14" i="84"/>
  <c r="C13" i="84"/>
  <c r="C12" i="84"/>
  <c r="C11" i="84"/>
  <c r="B17" i="84"/>
  <c r="B16" i="84"/>
  <c r="B15" i="84"/>
  <c r="B14" i="84"/>
  <c r="B13" i="84"/>
  <c r="B12" i="84"/>
  <c r="B11" i="84"/>
  <c r="B10" i="84"/>
  <c r="D9" i="84"/>
  <c r="D8" i="84"/>
  <c r="D7" i="84"/>
  <c r="D6" i="84"/>
  <c r="D5" i="84"/>
  <c r="D4" i="84"/>
  <c r="D3" i="84"/>
  <c r="E3" i="84" s="1"/>
  <c r="G10" i="83"/>
  <c r="G9" i="83"/>
  <c r="E13" i="81"/>
  <c r="E10" i="83"/>
  <c r="E9" i="83"/>
  <c r="C10" i="83"/>
  <c r="C9" i="83"/>
  <c r="C9" i="84"/>
  <c r="C8" i="84"/>
  <c r="C7" i="84"/>
  <c r="C6" i="84"/>
  <c r="C5" i="84"/>
  <c r="C4" i="84"/>
  <c r="C3" i="84"/>
  <c r="B9" i="84"/>
  <c r="B8" i="84"/>
  <c r="B7" i="84"/>
  <c r="B6" i="84"/>
  <c r="B5" i="84"/>
  <c r="B4" i="84"/>
  <c r="B3" i="84"/>
  <c r="B2" i="84"/>
  <c r="E32" i="74"/>
  <c r="E35" i="74"/>
  <c r="I14" i="73"/>
  <c r="I13" i="73"/>
  <c r="J14" i="73"/>
  <c r="H14" i="73"/>
  <c r="F15" i="84" l="1"/>
  <c r="F16" i="84"/>
  <c r="F6" i="84"/>
  <c r="E11" i="84"/>
  <c r="F7" i="84"/>
  <c r="F17" i="84"/>
  <c r="E13" i="84"/>
  <c r="E12" i="84"/>
  <c r="F8" i="84"/>
  <c r="E4" i="84"/>
  <c r="F9" i="84"/>
  <c r="E14" i="84"/>
  <c r="E5" i="84"/>
  <c r="E15" i="84"/>
  <c r="E16" i="84"/>
  <c r="E7" i="84"/>
  <c r="E17" i="84"/>
  <c r="E6" i="84"/>
  <c r="E8" i="84"/>
  <c r="F11" i="84"/>
  <c r="E9" i="84"/>
  <c r="F12" i="84"/>
  <c r="F3" i="84"/>
  <c r="F13" i="84"/>
  <c r="F4" i="84"/>
  <c r="F14" i="84"/>
  <c r="F5" i="84"/>
  <c r="M53" i="28"/>
  <c r="N52" i="28"/>
  <c r="M52" i="28"/>
  <c r="L52" i="28"/>
  <c r="K52" i="28"/>
  <c r="AF26" i="28"/>
  <c r="AF28" i="28" s="1"/>
  <c r="AE28" i="28"/>
  <c r="AE27" i="28"/>
  <c r="AF27" i="28"/>
  <c r="G38" i="72"/>
  <c r="G37" i="72"/>
  <c r="G36" i="72"/>
  <c r="G35" i="72"/>
  <c r="G34" i="72"/>
  <c r="G33" i="72"/>
  <c r="G32" i="72"/>
  <c r="G26" i="72"/>
  <c r="G25" i="72"/>
  <c r="G24" i="72"/>
  <c r="G22" i="72"/>
  <c r="G21" i="72"/>
  <c r="G20" i="72"/>
  <c r="G18" i="72"/>
  <c r="L13" i="72"/>
  <c r="L12" i="72"/>
  <c r="L11" i="72"/>
  <c r="K13" i="72"/>
  <c r="K12" i="72"/>
  <c r="K11" i="72"/>
  <c r="G18" i="67"/>
  <c r="F17" i="67"/>
  <c r="AE26" i="28"/>
  <c r="E34" i="68"/>
  <c r="U52" i="28"/>
  <c r="F10" i="84" l="1"/>
  <c r="G7" i="84" s="1"/>
  <c r="G4" i="84"/>
  <c r="G8" i="84"/>
  <c r="F18" i="84"/>
  <c r="H18" i="84" s="1"/>
  <c r="G5" i="84"/>
  <c r="E22" i="68"/>
  <c r="T52" i="28"/>
  <c r="J10" i="68"/>
  <c r="I10" i="68"/>
  <c r="E10" i="68"/>
  <c r="D10" i="68"/>
  <c r="C10" i="68"/>
  <c r="K10" i="68" s="1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6" i="29"/>
  <c r="M31" i="17"/>
  <c r="M34" i="17"/>
  <c r="H31" i="17"/>
  <c r="K31" i="17" s="1"/>
  <c r="H34" i="17"/>
  <c r="K34" i="17"/>
  <c r="C4" i="29"/>
  <c r="E25" i="29"/>
  <c r="E24" i="29"/>
  <c r="E23" i="29"/>
  <c r="E22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E6" i="29"/>
  <c r="E5" i="29"/>
  <c r="AE46" i="28"/>
  <c r="E4" i="29" s="1"/>
  <c r="AE47" i="28"/>
  <c r="AD47" i="28"/>
  <c r="AE52" i="28"/>
  <c r="C25" i="29"/>
  <c r="C24" i="29"/>
  <c r="C23" i="29"/>
  <c r="C22" i="29"/>
  <c r="C21" i="29"/>
  <c r="D23" i="29" s="1"/>
  <c r="C20" i="29"/>
  <c r="C19" i="29"/>
  <c r="C18" i="29"/>
  <c r="C17" i="29"/>
  <c r="C16" i="29"/>
  <c r="C15" i="29"/>
  <c r="C14" i="29"/>
  <c r="C13" i="29"/>
  <c r="C12" i="29"/>
  <c r="C11" i="29"/>
  <c r="C10" i="29"/>
  <c r="C9" i="29"/>
  <c r="C8" i="29"/>
  <c r="C7" i="29"/>
  <c r="C6" i="29"/>
  <c r="C5" i="29"/>
  <c r="E28" i="29"/>
  <c r="E29" i="29" s="1"/>
  <c r="E27" i="29"/>
  <c r="E26" i="29"/>
  <c r="E33" i="29"/>
  <c r="E34" i="29" s="1"/>
  <c r="C33" i="29"/>
  <c r="C32" i="29"/>
  <c r="C31" i="29"/>
  <c r="C26" i="29"/>
  <c r="J36" i="82"/>
  <c r="J35" i="82"/>
  <c r="J34" i="82"/>
  <c r="E31" i="29"/>
  <c r="I32" i="82"/>
  <c r="C27" i="29"/>
  <c r="K34" i="24"/>
  <c r="K31" i="24"/>
  <c r="K34" i="22"/>
  <c r="K31" i="22"/>
  <c r="K34" i="21"/>
  <c r="K31" i="21"/>
  <c r="K34" i="20"/>
  <c r="K31" i="20"/>
  <c r="K34" i="19"/>
  <c r="K31" i="19"/>
  <c r="K34" i="18"/>
  <c r="K31" i="18"/>
  <c r="K34" i="16"/>
  <c r="K31" i="16"/>
  <c r="K34" i="15"/>
  <c r="K31" i="15"/>
  <c r="K34" i="13"/>
  <c r="K31" i="13"/>
  <c r="K34" i="12"/>
  <c r="K31" i="12"/>
  <c r="K34" i="11"/>
  <c r="K31" i="11"/>
  <c r="K34" i="10"/>
  <c r="K31" i="10"/>
  <c r="K34" i="9"/>
  <c r="K31" i="9"/>
  <c r="K34" i="8"/>
  <c r="K31" i="8"/>
  <c r="K34" i="7"/>
  <c r="K31" i="7"/>
  <c r="K34" i="6"/>
  <c r="K31" i="6"/>
  <c r="K34" i="5"/>
  <c r="K31" i="5"/>
  <c r="K34" i="4"/>
  <c r="K31" i="4"/>
  <c r="K34" i="3"/>
  <c r="K31" i="3"/>
  <c r="G31" i="2"/>
  <c r="K31" i="2" s="1"/>
  <c r="C28" i="29"/>
  <c r="C29" i="29" s="1"/>
  <c r="K34" i="2"/>
  <c r="G32" i="82"/>
  <c r="J12" i="61" s="1"/>
  <c r="I35" i="82"/>
  <c r="J13" i="61"/>
  <c r="E32" i="29"/>
  <c r="AE43" i="28"/>
  <c r="AE41" i="28"/>
  <c r="AE40" i="28"/>
  <c r="AE39" i="28"/>
  <c r="AE38" i="28"/>
  <c r="AD50" i="28"/>
  <c r="AD49" i="28"/>
  <c r="AD51" i="28" s="1"/>
  <c r="AD48" i="28"/>
  <c r="AD46" i="28"/>
  <c r="B13" i="50"/>
  <c r="B12" i="50"/>
  <c r="B11" i="50"/>
  <c r="B10" i="50"/>
  <c r="B9" i="50"/>
  <c r="B8" i="50"/>
  <c r="B7" i="50"/>
  <c r="B6" i="50"/>
  <c r="B5" i="50"/>
  <c r="C13" i="50"/>
  <c r="C13" i="51"/>
  <c r="G12" i="84" l="1"/>
  <c r="G6" i="84"/>
  <c r="G3" i="84"/>
  <c r="G15" i="84"/>
  <c r="G16" i="84"/>
  <c r="G11" i="84"/>
  <c r="G14" i="84"/>
  <c r="G13" i="84"/>
  <c r="E21" i="29"/>
  <c r="F14" i="29" s="1"/>
  <c r="F5" i="29"/>
  <c r="F6" i="29"/>
  <c r="F10" i="29"/>
  <c r="F11" i="29"/>
  <c r="D7" i="29"/>
  <c r="F12" i="29"/>
  <c r="D8" i="29"/>
  <c r="F16" i="29"/>
  <c r="D9" i="29"/>
  <c r="F17" i="29"/>
  <c r="D13" i="29"/>
  <c r="F22" i="29"/>
  <c r="D14" i="29"/>
  <c r="F23" i="29"/>
  <c r="D19" i="29"/>
  <c r="F24" i="29"/>
  <c r="D20" i="29"/>
  <c r="D25" i="29"/>
  <c r="D10" i="29"/>
  <c r="D12" i="29"/>
  <c r="D24" i="29"/>
  <c r="F15" i="29"/>
  <c r="D15" i="29"/>
  <c r="F18" i="29"/>
  <c r="F7" i="29"/>
  <c r="D5" i="29"/>
  <c r="D17" i="29"/>
  <c r="F8" i="29"/>
  <c r="F20" i="29"/>
  <c r="D16" i="29"/>
  <c r="F19" i="29"/>
  <c r="D6" i="29"/>
  <c r="D18" i="29"/>
  <c r="F9" i="29"/>
  <c r="F21" i="29"/>
  <c r="D21" i="29"/>
  <c r="D22" i="29"/>
  <c r="F13" i="29"/>
  <c r="F25" i="29"/>
  <c r="D11" i="29"/>
  <c r="C34" i="29"/>
  <c r="K13" i="61"/>
  <c r="L13" i="61"/>
  <c r="K12" i="61"/>
  <c r="L12" i="61"/>
  <c r="G10" i="84" l="1"/>
  <c r="G18" i="84"/>
  <c r="F40" i="72"/>
  <c r="F39" i="72"/>
  <c r="F38" i="72"/>
  <c r="F37" i="72"/>
  <c r="F36" i="72"/>
  <c r="F35" i="72"/>
  <c r="F34" i="72"/>
  <c r="F33" i="72"/>
  <c r="F32" i="72"/>
  <c r="E40" i="72"/>
  <c r="G40" i="72" s="1"/>
  <c r="E38" i="72"/>
  <c r="E37" i="72"/>
  <c r="E36" i="72"/>
  <c r="E35" i="72"/>
  <c r="E34" i="72"/>
  <c r="E33" i="72"/>
  <c r="E32" i="72"/>
  <c r="D40" i="72"/>
  <c r="D39" i="72"/>
  <c r="D38" i="72"/>
  <c r="D37" i="72"/>
  <c r="D36" i="72"/>
  <c r="D35" i="72"/>
  <c r="D34" i="72"/>
  <c r="D33" i="72"/>
  <c r="D32" i="72"/>
  <c r="C40" i="72"/>
  <c r="C39" i="72"/>
  <c r="C38" i="72"/>
  <c r="C37" i="72"/>
  <c r="C36" i="72"/>
  <c r="C35" i="72"/>
  <c r="C34" i="72"/>
  <c r="C33" i="72"/>
  <c r="C32" i="72"/>
  <c r="F26" i="72"/>
  <c r="F25" i="72"/>
  <c r="F24" i="72"/>
  <c r="F23" i="72"/>
  <c r="G23" i="72" s="1"/>
  <c r="F22" i="72"/>
  <c r="F21" i="72"/>
  <c r="F20" i="72"/>
  <c r="F19" i="72"/>
  <c r="G19" i="72" s="1"/>
  <c r="F18" i="72"/>
  <c r="E26" i="72"/>
  <c r="E25" i="72"/>
  <c r="E24" i="72"/>
  <c r="E23" i="72"/>
  <c r="E22" i="72"/>
  <c r="E21" i="72"/>
  <c r="E20" i="72"/>
  <c r="E19" i="72"/>
  <c r="E18" i="72"/>
  <c r="D26" i="72"/>
  <c r="D25" i="72"/>
  <c r="D24" i="72"/>
  <c r="D23" i="72"/>
  <c r="D22" i="72"/>
  <c r="D21" i="72"/>
  <c r="D20" i="72"/>
  <c r="D19" i="72"/>
  <c r="D18" i="72"/>
  <c r="C26" i="72"/>
  <c r="C25" i="72"/>
  <c r="C24" i="72"/>
  <c r="C23" i="72"/>
  <c r="C22" i="72"/>
  <c r="C21" i="72"/>
  <c r="C20" i="72"/>
  <c r="C19" i="72"/>
  <c r="C18" i="72"/>
  <c r="D13" i="45"/>
  <c r="D12" i="45"/>
  <c r="R3" i="54"/>
  <c r="Q11" i="54"/>
  <c r="Q10" i="54"/>
  <c r="Q9" i="54"/>
  <c r="Q8" i="54"/>
  <c r="Q7" i="54"/>
  <c r="Q6" i="54"/>
  <c r="Q5" i="54"/>
  <c r="Q4" i="54"/>
  <c r="Q3" i="54"/>
  <c r="C27" i="54" s="1"/>
  <c r="P11" i="54"/>
  <c r="P10" i="54"/>
  <c r="P9" i="54"/>
  <c r="P8" i="54"/>
  <c r="P7" i="54"/>
  <c r="P6" i="54"/>
  <c r="P5" i="54"/>
  <c r="P4" i="54"/>
  <c r="P3" i="54"/>
  <c r="C37" i="54" s="1"/>
  <c r="O11" i="54"/>
  <c r="O10" i="54"/>
  <c r="O9" i="54"/>
  <c r="O8" i="54"/>
  <c r="O7" i="54"/>
  <c r="O6" i="54"/>
  <c r="O5" i="54"/>
  <c r="O4" i="54"/>
  <c r="O3" i="54"/>
  <c r="N8" i="54"/>
  <c r="N7" i="54"/>
  <c r="N6" i="54"/>
  <c r="N5" i="54"/>
  <c r="N4" i="54"/>
  <c r="N3" i="54"/>
  <c r="C45" i="54"/>
  <c r="C40" i="54"/>
  <c r="C39" i="54"/>
  <c r="K6" i="81"/>
  <c r="J14" i="81"/>
  <c r="J13" i="81"/>
  <c r="J12" i="81"/>
  <c r="J11" i="81"/>
  <c r="J10" i="81"/>
  <c r="J9" i="81"/>
  <c r="J8" i="81"/>
  <c r="J7" i="81"/>
  <c r="J6" i="81"/>
  <c r="I14" i="81"/>
  <c r="I13" i="81"/>
  <c r="I12" i="81"/>
  <c r="I11" i="81"/>
  <c r="I10" i="81"/>
  <c r="I9" i="81"/>
  <c r="I8" i="81"/>
  <c r="I7" i="81"/>
  <c r="I6" i="81"/>
  <c r="G14" i="81"/>
  <c r="G13" i="81"/>
  <c r="F18" i="67" s="1"/>
  <c r="F14" i="81"/>
  <c r="F13" i="81"/>
  <c r="F12" i="81"/>
  <c r="F11" i="81"/>
  <c r="F10" i="81"/>
  <c r="F9" i="81"/>
  <c r="F8" i="81"/>
  <c r="F7" i="81"/>
  <c r="F6" i="81"/>
  <c r="E14" i="81"/>
  <c r="E12" i="81"/>
  <c r="E11" i="81"/>
  <c r="E10" i="81"/>
  <c r="E9" i="81"/>
  <c r="E8" i="81"/>
  <c r="E7" i="81"/>
  <c r="E6" i="81"/>
  <c r="D14" i="81"/>
  <c r="D13" i="81"/>
  <c r="D12" i="81"/>
  <c r="D11" i="81"/>
  <c r="D10" i="81"/>
  <c r="D9" i="81"/>
  <c r="D8" i="81"/>
  <c r="D7" i="81"/>
  <c r="D6" i="81"/>
  <c r="H12" i="33"/>
  <c r="H12" i="31"/>
  <c r="H12" i="37"/>
  <c r="H12" i="36"/>
  <c r="H12" i="35"/>
  <c r="H12" i="34"/>
  <c r="H12" i="80"/>
  <c r="H12" i="79"/>
  <c r="Z36" i="28"/>
  <c r="H11" i="28"/>
  <c r="Q36" i="28"/>
  <c r="E35" i="9"/>
  <c r="E34" i="9"/>
  <c r="E32" i="9"/>
  <c r="E31" i="9"/>
  <c r="E36" i="9"/>
  <c r="E33" i="9"/>
  <c r="AI10" i="28"/>
  <c r="Q35" i="28"/>
  <c r="C17" i="54" l="1"/>
  <c r="C14" i="54"/>
  <c r="C15" i="54"/>
  <c r="C16" i="54"/>
  <c r="N10" i="54"/>
  <c r="H14" i="67"/>
  <c r="H13" i="67"/>
  <c r="H12" i="67"/>
  <c r="H11" i="67"/>
  <c r="H10" i="67"/>
  <c r="H9" i="67"/>
  <c r="H8" i="67"/>
  <c r="H6" i="67"/>
  <c r="H7" i="67"/>
  <c r="H18" i="67"/>
  <c r="H17" i="67"/>
  <c r="H5" i="67"/>
  <c r="H15" i="67"/>
  <c r="H16" i="67"/>
  <c r="H4" i="67"/>
  <c r="N11" i="54"/>
  <c r="N9" i="54"/>
  <c r="C29" i="54"/>
  <c r="C30" i="54"/>
  <c r="C28" i="54"/>
  <c r="C31" i="54"/>
  <c r="C32" i="54"/>
  <c r="C33" i="54"/>
  <c r="C26" i="54"/>
  <c r="D27" i="54" s="1"/>
  <c r="C25" i="54"/>
  <c r="C38" i="54"/>
  <c r="C41" i="54"/>
  <c r="C42" i="54"/>
  <c r="C43" i="54"/>
  <c r="C44" i="54"/>
  <c r="D44" i="54" s="1"/>
  <c r="C18" i="54"/>
  <c r="C19" i="54"/>
  <c r="C20" i="54"/>
  <c r="C22" i="54"/>
  <c r="C21" i="54"/>
  <c r="C7" i="54"/>
  <c r="C10" i="54"/>
  <c r="C5" i="54"/>
  <c r="C11" i="54"/>
  <c r="C3" i="54"/>
  <c r="C4" i="54"/>
  <c r="E4" i="82"/>
  <c r="H36" i="82"/>
  <c r="G36" i="82"/>
  <c r="F36" i="82"/>
  <c r="E36" i="82"/>
  <c r="H33" i="82"/>
  <c r="G33" i="82"/>
  <c r="F33" i="82"/>
  <c r="E33" i="82"/>
  <c r="H30" i="82"/>
  <c r="G30" i="82"/>
  <c r="I30" i="82" s="1"/>
  <c r="F30" i="82"/>
  <c r="E30" i="82"/>
  <c r="H29" i="82"/>
  <c r="G29" i="82"/>
  <c r="F29" i="82"/>
  <c r="E29" i="82"/>
  <c r="H28" i="82"/>
  <c r="I28" i="82" s="1"/>
  <c r="G28" i="82"/>
  <c r="F28" i="82"/>
  <c r="E28" i="82"/>
  <c r="H27" i="82"/>
  <c r="I27" i="82" s="1"/>
  <c r="G27" i="82"/>
  <c r="F27" i="82"/>
  <c r="E27" i="82"/>
  <c r="H26" i="82"/>
  <c r="G26" i="82"/>
  <c r="F26" i="82"/>
  <c r="E26" i="82"/>
  <c r="H25" i="82"/>
  <c r="G25" i="82"/>
  <c r="F25" i="82"/>
  <c r="E25" i="82"/>
  <c r="I24" i="82"/>
  <c r="H24" i="82"/>
  <c r="G24" i="82"/>
  <c r="F24" i="82"/>
  <c r="E24" i="82"/>
  <c r="H23" i="82"/>
  <c r="G23" i="82"/>
  <c r="F23" i="82"/>
  <c r="E23" i="82"/>
  <c r="H22" i="82"/>
  <c r="G22" i="82"/>
  <c r="I22" i="82" s="1"/>
  <c r="F22" i="82"/>
  <c r="E22" i="82"/>
  <c r="H21" i="82"/>
  <c r="G21" i="82"/>
  <c r="F21" i="82"/>
  <c r="E21" i="82"/>
  <c r="H20" i="82"/>
  <c r="I20" i="82" s="1"/>
  <c r="G20" i="82"/>
  <c r="F20" i="82"/>
  <c r="E20" i="82"/>
  <c r="H19" i="82"/>
  <c r="G19" i="82"/>
  <c r="F19" i="82"/>
  <c r="E19" i="82"/>
  <c r="H18" i="82"/>
  <c r="I18" i="82" s="1"/>
  <c r="G18" i="82"/>
  <c r="F18" i="82"/>
  <c r="E18" i="82"/>
  <c r="H17" i="82"/>
  <c r="I17" i="82" s="1"/>
  <c r="G17" i="82"/>
  <c r="F17" i="82"/>
  <c r="E17" i="82"/>
  <c r="H16" i="82"/>
  <c r="I16" i="82" s="1"/>
  <c r="G16" i="82"/>
  <c r="F16" i="82"/>
  <c r="E16" i="82"/>
  <c r="H15" i="82"/>
  <c r="I15" i="82" s="1"/>
  <c r="G15" i="82"/>
  <c r="F15" i="82"/>
  <c r="E15" i="82"/>
  <c r="H14" i="82"/>
  <c r="I14" i="82" s="1"/>
  <c r="G14" i="82"/>
  <c r="F14" i="82"/>
  <c r="E14" i="82"/>
  <c r="H13" i="82"/>
  <c r="G13" i="82"/>
  <c r="F13" i="82"/>
  <c r="E13" i="82"/>
  <c r="H12" i="82"/>
  <c r="G12" i="82"/>
  <c r="F12" i="82"/>
  <c r="E12" i="82"/>
  <c r="I11" i="82"/>
  <c r="H11" i="82"/>
  <c r="G11" i="82"/>
  <c r="F11" i="82"/>
  <c r="E11" i="82"/>
  <c r="H10" i="82"/>
  <c r="I10" i="82" s="1"/>
  <c r="G10" i="82"/>
  <c r="F10" i="82"/>
  <c r="E10" i="82"/>
  <c r="H9" i="82"/>
  <c r="I9" i="82" s="1"/>
  <c r="G9" i="82"/>
  <c r="F9" i="82"/>
  <c r="E9" i="82"/>
  <c r="H8" i="82"/>
  <c r="I8" i="82" s="1"/>
  <c r="G8" i="82"/>
  <c r="F8" i="82"/>
  <c r="E8" i="82"/>
  <c r="H7" i="82"/>
  <c r="I7" i="82" s="1"/>
  <c r="G7" i="82"/>
  <c r="F7" i="82"/>
  <c r="E7" i="82"/>
  <c r="E35" i="82" s="1"/>
  <c r="H6" i="82"/>
  <c r="I6" i="82" s="1"/>
  <c r="G6" i="82"/>
  <c r="F6" i="82"/>
  <c r="E6" i="82"/>
  <c r="H5" i="82"/>
  <c r="G5" i="82"/>
  <c r="F5" i="82"/>
  <c r="F32" i="82" s="1"/>
  <c r="E5" i="82"/>
  <c r="E32" i="82" s="1"/>
  <c r="H4" i="82"/>
  <c r="G4" i="82"/>
  <c r="F4" i="82"/>
  <c r="O12" i="62"/>
  <c r="O11" i="62"/>
  <c r="O10" i="62"/>
  <c r="O9" i="62"/>
  <c r="N20" i="62"/>
  <c r="N19" i="62"/>
  <c r="N18" i="62"/>
  <c r="O7" i="62"/>
  <c r="O13" i="62"/>
  <c r="O17" i="62"/>
  <c r="O16" i="62"/>
  <c r="O15" i="62"/>
  <c r="C46" i="54" l="1"/>
  <c r="D39" i="54" s="1"/>
  <c r="D38" i="54"/>
  <c r="C8" i="54"/>
  <c r="C6" i="54"/>
  <c r="C9" i="54"/>
  <c r="D33" i="54"/>
  <c r="D31" i="54"/>
  <c r="D28" i="54"/>
  <c r="D30" i="54"/>
  <c r="D29" i="54"/>
  <c r="C34" i="54"/>
  <c r="D26" i="54" s="1"/>
  <c r="F35" i="82"/>
  <c r="G35" i="82"/>
  <c r="H35" i="82"/>
  <c r="I5" i="82"/>
  <c r="H32" i="82"/>
  <c r="H34" i="2"/>
  <c r="E34" i="2"/>
  <c r="E35" i="2"/>
  <c r="E34" i="16"/>
  <c r="H34" i="16"/>
  <c r="D42" i="54" l="1"/>
  <c r="D45" i="54"/>
  <c r="D47" i="54"/>
  <c r="D40" i="54"/>
  <c r="D41" i="54"/>
  <c r="D43" i="54"/>
  <c r="D34" i="54"/>
  <c r="I49" i="28"/>
  <c r="I48" i="28"/>
  <c r="I47" i="28"/>
  <c r="I46" i="28"/>
  <c r="I45" i="28"/>
  <c r="I44" i="28"/>
  <c r="I43" i="28"/>
  <c r="I41" i="28"/>
  <c r="I40" i="28"/>
  <c r="I39" i="28"/>
  <c r="I38" i="28"/>
  <c r="I37" i="28"/>
  <c r="I36" i="28"/>
  <c r="I35" i="28"/>
  <c r="I33" i="28"/>
  <c r="I32" i="28"/>
  <c r="I31" i="28"/>
  <c r="I30" i="28"/>
  <c r="I29" i="28"/>
  <c r="I28" i="28"/>
  <c r="I27" i="28"/>
  <c r="H49" i="28"/>
  <c r="H48" i="28"/>
  <c r="H47" i="28"/>
  <c r="H46" i="28"/>
  <c r="H45" i="28"/>
  <c r="H44" i="28"/>
  <c r="H43" i="28"/>
  <c r="H41" i="28"/>
  <c r="H40" i="28"/>
  <c r="H39" i="28"/>
  <c r="H38" i="28"/>
  <c r="H37" i="28"/>
  <c r="H36" i="28"/>
  <c r="H35" i="28"/>
  <c r="H33" i="28"/>
  <c r="H32" i="28"/>
  <c r="H31" i="28"/>
  <c r="H30" i="28"/>
  <c r="H29" i="28"/>
  <c r="H28" i="28"/>
  <c r="H27" i="28"/>
  <c r="G49" i="28"/>
  <c r="G48" i="28"/>
  <c r="G47" i="28"/>
  <c r="G46" i="28"/>
  <c r="G45" i="28"/>
  <c r="G44" i="28"/>
  <c r="G43" i="28"/>
  <c r="G41" i="28"/>
  <c r="G40" i="28"/>
  <c r="G39" i="28"/>
  <c r="G38" i="28"/>
  <c r="G37" i="28"/>
  <c r="G36" i="28"/>
  <c r="G35" i="28"/>
  <c r="G33" i="28"/>
  <c r="G32" i="28"/>
  <c r="G31" i="28"/>
  <c r="G30" i="28"/>
  <c r="G29" i="28"/>
  <c r="G28" i="28"/>
  <c r="G27" i="28"/>
  <c r="F49" i="28"/>
  <c r="F48" i="28"/>
  <c r="F47" i="28"/>
  <c r="F46" i="28"/>
  <c r="F45" i="28"/>
  <c r="F44" i="28"/>
  <c r="F43" i="28"/>
  <c r="F41" i="28"/>
  <c r="F40" i="28"/>
  <c r="F39" i="28"/>
  <c r="F38" i="28"/>
  <c r="F37" i="28"/>
  <c r="F36" i="28"/>
  <c r="F35" i="28"/>
  <c r="F33" i="28"/>
  <c r="F32" i="28"/>
  <c r="F31" i="28"/>
  <c r="F30" i="28"/>
  <c r="F29" i="28"/>
  <c r="F28" i="28"/>
  <c r="F27" i="28"/>
  <c r="E49" i="28"/>
  <c r="E48" i="28"/>
  <c r="E47" i="28"/>
  <c r="E46" i="28"/>
  <c r="E45" i="28"/>
  <c r="E44" i="28"/>
  <c r="E43" i="28"/>
  <c r="E41" i="28"/>
  <c r="E40" i="28"/>
  <c r="E39" i="28"/>
  <c r="E38" i="28"/>
  <c r="E37" i="28"/>
  <c r="E36" i="28"/>
  <c r="E35" i="28"/>
  <c r="E33" i="28"/>
  <c r="E32" i="28"/>
  <c r="E31" i="28"/>
  <c r="E30" i="28"/>
  <c r="E29" i="28"/>
  <c r="E28" i="28"/>
  <c r="E27" i="28"/>
  <c r="D27" i="28"/>
  <c r="D49" i="28"/>
  <c r="D48" i="28"/>
  <c r="D47" i="28"/>
  <c r="D46" i="28"/>
  <c r="D45" i="28"/>
  <c r="D44" i="28"/>
  <c r="D43" i="28"/>
  <c r="D41" i="28"/>
  <c r="D40" i="28"/>
  <c r="D39" i="28"/>
  <c r="D38" i="28"/>
  <c r="D37" i="28"/>
  <c r="D36" i="28"/>
  <c r="D35" i="28"/>
  <c r="D33" i="28"/>
  <c r="D32" i="28"/>
  <c r="D31" i="28"/>
  <c r="D30" i="28"/>
  <c r="D29" i="28"/>
  <c r="D28" i="28"/>
  <c r="D46" i="54" l="1"/>
  <c r="D48" i="54"/>
  <c r="E50" i="28"/>
  <c r="I50" i="28"/>
  <c r="H50" i="28"/>
  <c r="F50" i="28"/>
  <c r="G50" i="28"/>
  <c r="C49" i="28"/>
  <c r="C48" i="28"/>
  <c r="C47" i="28"/>
  <c r="C46" i="28"/>
  <c r="C45" i="28"/>
  <c r="C44" i="28"/>
  <c r="C43" i="28"/>
  <c r="C41" i="28"/>
  <c r="C40" i="28"/>
  <c r="C39" i="28"/>
  <c r="C38" i="28"/>
  <c r="C37" i="28"/>
  <c r="C36" i="28"/>
  <c r="C35" i="28"/>
  <c r="C33" i="28"/>
  <c r="C32" i="28"/>
  <c r="C31" i="28"/>
  <c r="C30" i="28"/>
  <c r="C29" i="28"/>
  <c r="C28" i="28"/>
  <c r="C27" i="28"/>
  <c r="AD3" i="28" s="1"/>
  <c r="C50" i="28" l="1"/>
  <c r="L3" i="12"/>
  <c r="M3" i="12" s="1"/>
  <c r="AD24" i="28" l="1"/>
  <c r="I13" i="58" l="1"/>
  <c r="I25" i="60"/>
  <c r="I24" i="60"/>
  <c r="I23" i="60"/>
  <c r="I22" i="60"/>
  <c r="I20" i="60"/>
  <c r="I18" i="60"/>
  <c r="I17" i="60"/>
  <c r="I16" i="60"/>
  <c r="I15" i="60"/>
  <c r="I13" i="60"/>
  <c r="I12" i="60"/>
  <c r="I11" i="60"/>
  <c r="I10" i="60"/>
  <c r="I9" i="60"/>
  <c r="I8" i="60"/>
  <c r="I7" i="60"/>
  <c r="I6" i="60"/>
  <c r="I5" i="60"/>
  <c r="I27" i="58"/>
  <c r="I26" i="58"/>
  <c r="I25" i="58"/>
  <c r="I24" i="58"/>
  <c r="I23" i="58"/>
  <c r="I22" i="58"/>
  <c r="I21" i="58"/>
  <c r="I20" i="58"/>
  <c r="I19" i="58"/>
  <c r="I18" i="58"/>
  <c r="I17" i="58"/>
  <c r="I16" i="58"/>
  <c r="I15" i="58"/>
  <c r="I12" i="58"/>
  <c r="I11" i="58"/>
  <c r="I10" i="58"/>
  <c r="I9" i="58"/>
  <c r="I8" i="58"/>
  <c r="I7" i="58"/>
  <c r="I6" i="58"/>
  <c r="I5" i="58"/>
  <c r="I27" i="57"/>
  <c r="I26" i="57"/>
  <c r="I25" i="57"/>
  <c r="I24" i="57"/>
  <c r="I22" i="57"/>
  <c r="I20" i="57"/>
  <c r="I18" i="57"/>
  <c r="I17" i="57"/>
  <c r="I16" i="57"/>
  <c r="I15" i="57"/>
  <c r="I12" i="57"/>
  <c r="I11" i="57"/>
  <c r="I10" i="57"/>
  <c r="I9" i="57"/>
  <c r="I8" i="57"/>
  <c r="I7" i="57"/>
  <c r="I6" i="57"/>
  <c r="I5" i="57"/>
  <c r="I27" i="56"/>
  <c r="I26" i="56"/>
  <c r="I25" i="56"/>
  <c r="I24" i="56"/>
  <c r="I23" i="56"/>
  <c r="I22" i="56"/>
  <c r="I20" i="56"/>
  <c r="I18" i="56"/>
  <c r="I17" i="56"/>
  <c r="I16" i="56"/>
  <c r="I15" i="56"/>
  <c r="I13" i="56"/>
  <c r="I12" i="56"/>
  <c r="I11" i="56"/>
  <c r="I10" i="56"/>
  <c r="I9" i="56"/>
  <c r="I8" i="56"/>
  <c r="I7" i="56"/>
  <c r="I6" i="56"/>
  <c r="I5" i="56"/>
  <c r="I30" i="71"/>
  <c r="I27" i="71"/>
  <c r="I24" i="71"/>
  <c r="I22" i="71"/>
  <c r="I20" i="71"/>
  <c r="I19" i="71"/>
  <c r="I18" i="71"/>
  <c r="I17" i="71"/>
  <c r="I16" i="71"/>
  <c r="I15" i="71"/>
  <c r="I12" i="71"/>
  <c r="I11" i="71"/>
  <c r="I10" i="71"/>
  <c r="I9" i="71"/>
  <c r="I8" i="71"/>
  <c r="I7" i="71"/>
  <c r="I6" i="71"/>
  <c r="I5" i="71"/>
  <c r="I30" i="74"/>
  <c r="I28" i="74"/>
  <c r="I27" i="74"/>
  <c r="I24" i="74"/>
  <c r="I22" i="74"/>
  <c r="I20" i="74"/>
  <c r="I18" i="74"/>
  <c r="I17" i="74"/>
  <c r="I16" i="74"/>
  <c r="I15" i="74"/>
  <c r="I11" i="74"/>
  <c r="I10" i="74"/>
  <c r="I9" i="74"/>
  <c r="I8" i="74"/>
  <c r="I7" i="74"/>
  <c r="I6" i="74"/>
  <c r="I5" i="74"/>
  <c r="H32" i="60"/>
  <c r="H30" i="60"/>
  <c r="H29" i="60"/>
  <c r="G32" i="60"/>
  <c r="I32" i="60" s="1"/>
  <c r="G30" i="60"/>
  <c r="G29" i="60"/>
  <c r="I29" i="60" s="1"/>
  <c r="F32" i="60"/>
  <c r="F30" i="60"/>
  <c r="F29" i="60"/>
  <c r="E32" i="60"/>
  <c r="E29" i="60"/>
  <c r="E30" i="60" s="1"/>
  <c r="H32" i="58"/>
  <c r="H30" i="58"/>
  <c r="H29" i="58"/>
  <c r="G32" i="58"/>
  <c r="I32" i="58" s="1"/>
  <c r="G30" i="58"/>
  <c r="G29" i="58"/>
  <c r="F32" i="58"/>
  <c r="F30" i="58"/>
  <c r="F29" i="58"/>
  <c r="E32" i="58"/>
  <c r="E30" i="58"/>
  <c r="E29" i="58"/>
  <c r="H32" i="57"/>
  <c r="H30" i="57"/>
  <c r="H29" i="57"/>
  <c r="G32" i="57"/>
  <c r="G30" i="57"/>
  <c r="G29" i="57"/>
  <c r="F32" i="57"/>
  <c r="F30" i="57"/>
  <c r="F29" i="57"/>
  <c r="E32" i="57"/>
  <c r="E30" i="57"/>
  <c r="E29" i="57"/>
  <c r="H32" i="56"/>
  <c r="H30" i="56"/>
  <c r="I30" i="56" s="1"/>
  <c r="H29" i="56"/>
  <c r="I29" i="56" s="1"/>
  <c r="G32" i="56"/>
  <c r="G30" i="56"/>
  <c r="G29" i="56"/>
  <c r="F32" i="56"/>
  <c r="F30" i="56"/>
  <c r="F29" i="56"/>
  <c r="E32" i="56"/>
  <c r="E29" i="56"/>
  <c r="H35" i="71"/>
  <c r="H32" i="71"/>
  <c r="G35" i="71"/>
  <c r="G32" i="71"/>
  <c r="F35" i="71"/>
  <c r="F32" i="71"/>
  <c r="E35" i="71"/>
  <c r="E32" i="71"/>
  <c r="H35" i="74"/>
  <c r="H32" i="74"/>
  <c r="G35" i="74"/>
  <c r="I35" i="74" s="1"/>
  <c r="G32" i="74"/>
  <c r="F35" i="74"/>
  <c r="F32" i="74"/>
  <c r="K5" i="68" l="1"/>
  <c r="K4" i="68"/>
  <c r="K3" i="68"/>
  <c r="E33" i="68"/>
  <c r="E21" i="68"/>
  <c r="I5" i="68" l="1"/>
  <c r="I4" i="68"/>
  <c r="I3" i="68"/>
  <c r="B15" i="50" l="1"/>
  <c r="I6" i="76" l="1"/>
  <c r="J6" i="76" s="1"/>
  <c r="E35" i="77"/>
  <c r="E32" i="77"/>
  <c r="H6" i="81" l="1"/>
  <c r="I12" i="76"/>
  <c r="I11" i="76"/>
  <c r="I10" i="76"/>
  <c r="I9" i="76"/>
  <c r="J9" i="76" s="1"/>
  <c r="I8" i="76"/>
  <c r="I7" i="76"/>
  <c r="B24" i="72"/>
  <c r="B38" i="72"/>
  <c r="B11" i="72"/>
  <c r="I12" i="66"/>
  <c r="J12" i="66" s="1"/>
  <c r="F12" i="66"/>
  <c r="E12" i="66"/>
  <c r="D12" i="66"/>
  <c r="I12" i="65"/>
  <c r="J12" i="65" s="1"/>
  <c r="F12" i="65"/>
  <c r="E12" i="65"/>
  <c r="D12" i="65"/>
  <c r="I12" i="64"/>
  <c r="J12" i="64" s="1"/>
  <c r="F12" i="64"/>
  <c r="E12" i="64"/>
  <c r="D12" i="64"/>
  <c r="I12" i="63"/>
  <c r="F12" i="63"/>
  <c r="E12" i="63"/>
  <c r="D12" i="63"/>
  <c r="I12" i="69"/>
  <c r="F12" i="69"/>
  <c r="E12" i="69"/>
  <c r="D12" i="69"/>
  <c r="I12" i="73"/>
  <c r="F12" i="73"/>
  <c r="E12" i="73"/>
  <c r="D12" i="73"/>
  <c r="G12" i="69" l="1"/>
  <c r="J12" i="73"/>
  <c r="K12" i="73" s="1"/>
  <c r="J7" i="76"/>
  <c r="I14" i="76"/>
  <c r="I13" i="76"/>
  <c r="J11" i="76"/>
  <c r="J8" i="76"/>
  <c r="J10" i="76"/>
  <c r="J12" i="76"/>
  <c r="G12" i="66"/>
  <c r="G12" i="65"/>
  <c r="G12" i="64"/>
  <c r="H12" i="66"/>
  <c r="K12" i="66"/>
  <c r="H12" i="65"/>
  <c r="K12" i="65"/>
  <c r="K12" i="64"/>
  <c r="H12" i="64"/>
  <c r="J12" i="63"/>
  <c r="K12" i="63" s="1"/>
  <c r="G12" i="63"/>
  <c r="H12" i="63"/>
  <c r="J12" i="69"/>
  <c r="H12" i="69" s="1"/>
  <c r="G12" i="73"/>
  <c r="H12" i="73"/>
  <c r="B39" i="54" l="1"/>
  <c r="K12" i="69"/>
  <c r="B45" i="54"/>
  <c r="J13" i="76"/>
  <c r="J14" i="76"/>
  <c r="E17" i="67"/>
  <c r="H31" i="2"/>
  <c r="G34" i="2"/>
  <c r="I32" i="74"/>
  <c r="I35" i="71"/>
  <c r="I32" i="71"/>
  <c r="I32" i="56"/>
  <c r="I32" i="57"/>
  <c r="I29" i="57"/>
  <c r="I29" i="58"/>
  <c r="H11" i="61"/>
  <c r="G11" i="61"/>
  <c r="F11" i="61"/>
  <c r="E11" i="61"/>
  <c r="D11" i="61"/>
  <c r="C11" i="61"/>
  <c r="A3" i="80"/>
  <c r="B42" i="54" l="1"/>
  <c r="B43" i="54"/>
  <c r="B38" i="54"/>
  <c r="B40" i="54"/>
  <c r="B41" i="54"/>
  <c r="B37" i="54"/>
  <c r="B44" i="54"/>
  <c r="A3" i="79"/>
  <c r="AA23" i="28"/>
  <c r="AA22" i="28"/>
  <c r="AA21" i="28"/>
  <c r="AA20" i="28"/>
  <c r="AA19" i="28"/>
  <c r="AA18" i="28"/>
  <c r="AA17" i="28"/>
  <c r="AA16" i="28"/>
  <c r="AA15" i="28"/>
  <c r="AA14" i="28"/>
  <c r="AA13" i="28"/>
  <c r="AA12" i="28"/>
  <c r="AA11" i="28"/>
  <c r="AA10" i="28"/>
  <c r="AA9" i="28"/>
  <c r="AA8" i="28"/>
  <c r="AA7" i="28"/>
  <c r="AA6" i="28"/>
  <c r="AA5" i="28"/>
  <c r="AA4" i="28"/>
  <c r="AA3" i="28"/>
  <c r="R23" i="28"/>
  <c r="R22" i="28"/>
  <c r="R21" i="28"/>
  <c r="R20" i="28"/>
  <c r="AA46" i="28" s="1"/>
  <c r="R19" i="28"/>
  <c r="R18" i="28"/>
  <c r="R17" i="28"/>
  <c r="R16" i="28"/>
  <c r="R15" i="28"/>
  <c r="R14" i="28"/>
  <c r="R13" i="28"/>
  <c r="R12" i="28"/>
  <c r="R11" i="28"/>
  <c r="R10" i="28"/>
  <c r="R9" i="28"/>
  <c r="R8" i="28"/>
  <c r="R7" i="28"/>
  <c r="R6" i="28"/>
  <c r="R5" i="28"/>
  <c r="R4" i="28"/>
  <c r="R3" i="28"/>
  <c r="AJ23" i="28"/>
  <c r="AJ22" i="28"/>
  <c r="AJ21" i="28"/>
  <c r="R47" i="28" s="1"/>
  <c r="AJ20" i="28"/>
  <c r="AJ19" i="28"/>
  <c r="AJ18" i="28"/>
  <c r="AJ17" i="28"/>
  <c r="AJ16" i="28"/>
  <c r="AJ15" i="28"/>
  <c r="AJ14" i="28"/>
  <c r="AJ13" i="28"/>
  <c r="AJ12" i="28"/>
  <c r="AJ11" i="28"/>
  <c r="AJ10" i="28"/>
  <c r="AJ9" i="28"/>
  <c r="R33" i="28" s="1"/>
  <c r="AJ8" i="28"/>
  <c r="R32" i="28" s="1"/>
  <c r="AJ7" i="28"/>
  <c r="R31" i="28" s="1"/>
  <c r="AJ6" i="28"/>
  <c r="AJ5" i="28"/>
  <c r="R29" i="28" s="1"/>
  <c r="AJ4" i="28"/>
  <c r="AJ3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I6" i="28"/>
  <c r="I5" i="28"/>
  <c r="I4" i="28"/>
  <c r="I3" i="28"/>
  <c r="E36" i="15"/>
  <c r="E35" i="15"/>
  <c r="E34" i="15"/>
  <c r="E33" i="15"/>
  <c r="E32" i="15"/>
  <c r="E31" i="15"/>
  <c r="E36" i="21"/>
  <c r="E35" i="21"/>
  <c r="E34" i="21"/>
  <c r="E33" i="21"/>
  <c r="E32" i="21"/>
  <c r="E31" i="21"/>
  <c r="E36" i="22"/>
  <c r="E35" i="22"/>
  <c r="E34" i="22"/>
  <c r="E33" i="22"/>
  <c r="E32" i="22"/>
  <c r="E31" i="22"/>
  <c r="E36" i="24"/>
  <c r="E35" i="24"/>
  <c r="E34" i="24"/>
  <c r="E33" i="24"/>
  <c r="E32" i="24"/>
  <c r="E31" i="24"/>
  <c r="E36" i="17"/>
  <c r="E35" i="17"/>
  <c r="E34" i="17"/>
  <c r="E33" i="17"/>
  <c r="E32" i="17"/>
  <c r="E31" i="17"/>
  <c r="E34" i="3"/>
  <c r="E36" i="2"/>
  <c r="G34" i="17"/>
  <c r="F34" i="17"/>
  <c r="H34" i="24"/>
  <c r="G34" i="24"/>
  <c r="F34" i="24"/>
  <c r="H34" i="22"/>
  <c r="G34" i="22"/>
  <c r="F34" i="22"/>
  <c r="H34" i="21"/>
  <c r="G34" i="21"/>
  <c r="F34" i="21"/>
  <c r="E36" i="20"/>
  <c r="E35" i="20"/>
  <c r="H34" i="20"/>
  <c r="G34" i="20"/>
  <c r="F34" i="20"/>
  <c r="E34" i="20"/>
  <c r="E36" i="19"/>
  <c r="E35" i="19"/>
  <c r="H34" i="19"/>
  <c r="G34" i="19"/>
  <c r="F34" i="19"/>
  <c r="E34" i="19"/>
  <c r="E36" i="18"/>
  <c r="E35" i="18"/>
  <c r="H34" i="18"/>
  <c r="G34" i="18"/>
  <c r="F34" i="18"/>
  <c r="E34" i="18"/>
  <c r="E36" i="16"/>
  <c r="E35" i="16"/>
  <c r="G34" i="16"/>
  <c r="F34" i="16"/>
  <c r="H34" i="15"/>
  <c r="G34" i="15"/>
  <c r="F34" i="15"/>
  <c r="E36" i="13"/>
  <c r="E35" i="13"/>
  <c r="H34" i="13"/>
  <c r="G34" i="13"/>
  <c r="F34" i="13"/>
  <c r="E34" i="13"/>
  <c r="E36" i="12"/>
  <c r="E35" i="12"/>
  <c r="H34" i="12"/>
  <c r="G34" i="12"/>
  <c r="F34" i="12"/>
  <c r="E34" i="12"/>
  <c r="E36" i="11"/>
  <c r="E35" i="11"/>
  <c r="H34" i="11"/>
  <c r="G34" i="11"/>
  <c r="F34" i="11"/>
  <c r="E34" i="11"/>
  <c r="E36" i="10"/>
  <c r="E35" i="10"/>
  <c r="H34" i="10"/>
  <c r="G34" i="10"/>
  <c r="F34" i="10"/>
  <c r="E34" i="10"/>
  <c r="H34" i="9"/>
  <c r="G34" i="9"/>
  <c r="F34" i="9"/>
  <c r="E36" i="8"/>
  <c r="E35" i="8"/>
  <c r="H34" i="8"/>
  <c r="G34" i="8"/>
  <c r="F34" i="8"/>
  <c r="E34" i="8"/>
  <c r="E36" i="7"/>
  <c r="E35" i="7"/>
  <c r="H34" i="7"/>
  <c r="G34" i="7"/>
  <c r="F34" i="7"/>
  <c r="E34" i="7"/>
  <c r="E36" i="6"/>
  <c r="E35" i="6"/>
  <c r="H34" i="6"/>
  <c r="G34" i="6"/>
  <c r="F34" i="6"/>
  <c r="E34" i="6"/>
  <c r="E36" i="5"/>
  <c r="E35" i="5"/>
  <c r="H34" i="5"/>
  <c r="G34" i="5"/>
  <c r="F34" i="5"/>
  <c r="E34" i="5"/>
  <c r="E36" i="4"/>
  <c r="E35" i="4"/>
  <c r="H34" i="4"/>
  <c r="G34" i="4"/>
  <c r="F34" i="4"/>
  <c r="E34" i="4"/>
  <c r="E36" i="3"/>
  <c r="E35" i="3"/>
  <c r="E33" i="3"/>
  <c r="E32" i="3"/>
  <c r="E31" i="3"/>
  <c r="H34" i="3"/>
  <c r="G34" i="3"/>
  <c r="F34" i="3"/>
  <c r="E33" i="2"/>
  <c r="E32" i="2"/>
  <c r="F34" i="2"/>
  <c r="E31" i="2"/>
  <c r="R43" i="28" l="1"/>
  <c r="R46" i="28"/>
  <c r="R45" i="28"/>
  <c r="F36" i="77"/>
  <c r="E36" i="77"/>
  <c r="R36" i="28"/>
  <c r="I12" i="44" s="1"/>
  <c r="R49" i="28"/>
  <c r="R37" i="28"/>
  <c r="R38" i="28"/>
  <c r="I14" i="44" s="1"/>
  <c r="H36" i="77"/>
  <c r="R40" i="28"/>
  <c r="I16" i="42" s="1"/>
  <c r="G36" i="77"/>
  <c r="R28" i="28"/>
  <c r="R41" i="28"/>
  <c r="I17" i="79" s="1"/>
  <c r="AA30" i="28"/>
  <c r="R30" i="28"/>
  <c r="I7" i="79" s="1"/>
  <c r="R35" i="28"/>
  <c r="I11" i="44" s="1"/>
  <c r="R39" i="28"/>
  <c r="I15" i="41" s="1"/>
  <c r="R44" i="28"/>
  <c r="I19" i="42" s="1"/>
  <c r="R48" i="28"/>
  <c r="I23" i="44" s="1"/>
  <c r="AA28" i="28"/>
  <c r="I5" i="33" s="1"/>
  <c r="AA32" i="28"/>
  <c r="I9" i="34" s="1"/>
  <c r="AA48" i="28"/>
  <c r="I23" i="35" s="1"/>
  <c r="AA27" i="28"/>
  <c r="AA31" i="28"/>
  <c r="I8" i="31" s="1"/>
  <c r="AA36" i="28"/>
  <c r="I12" i="37" s="1"/>
  <c r="AA40" i="28"/>
  <c r="I16" i="36" s="1"/>
  <c r="AA45" i="28"/>
  <c r="I20" i="31" s="1"/>
  <c r="AA49" i="28"/>
  <c r="I24" i="33" s="1"/>
  <c r="AA37" i="28"/>
  <c r="I13" i="33" s="1"/>
  <c r="AA41" i="28"/>
  <c r="I17" i="34" s="1"/>
  <c r="I24" i="28"/>
  <c r="AA29" i="28"/>
  <c r="I6" i="33" s="1"/>
  <c r="AA33" i="28"/>
  <c r="I10" i="31" s="1"/>
  <c r="AA38" i="28"/>
  <c r="I14" i="37" s="1"/>
  <c r="AA43" i="28"/>
  <c r="I18" i="33" s="1"/>
  <c r="AA47" i="28"/>
  <c r="I22" i="34" s="1"/>
  <c r="AA35" i="28"/>
  <c r="AA39" i="28"/>
  <c r="I15" i="37" s="1"/>
  <c r="AA44" i="28"/>
  <c r="I19" i="36" s="1"/>
  <c r="I9" i="38"/>
  <c r="I9" i="43"/>
  <c r="I9" i="41"/>
  <c r="I9" i="44"/>
  <c r="I9" i="42"/>
  <c r="I9" i="40"/>
  <c r="I9" i="79"/>
  <c r="I17" i="42"/>
  <c r="I17" i="40"/>
  <c r="I6" i="41"/>
  <c r="I6" i="44"/>
  <c r="I6" i="40"/>
  <c r="I6" i="42"/>
  <c r="I6" i="38"/>
  <c r="I6" i="43"/>
  <c r="I6" i="79"/>
  <c r="I10" i="43"/>
  <c r="I10" i="44"/>
  <c r="I10" i="42"/>
  <c r="I10" i="40"/>
  <c r="I10" i="38"/>
  <c r="I10" i="41"/>
  <c r="I10" i="79"/>
  <c r="I18" i="38"/>
  <c r="I18" i="41"/>
  <c r="I18" i="44"/>
  <c r="I18" i="42"/>
  <c r="I18" i="43"/>
  <c r="I18" i="40"/>
  <c r="I18" i="79"/>
  <c r="I22" i="44"/>
  <c r="I22" i="42"/>
  <c r="I22" i="40"/>
  <c r="I22" i="38"/>
  <c r="I22" i="43"/>
  <c r="I22" i="41"/>
  <c r="I22" i="79"/>
  <c r="I21" i="33"/>
  <c r="I21" i="31"/>
  <c r="I21" i="36"/>
  <c r="I21" i="34"/>
  <c r="I21" i="80"/>
  <c r="I21" i="37"/>
  <c r="I21" i="35"/>
  <c r="I4" i="31"/>
  <c r="I4" i="33"/>
  <c r="I4" i="36"/>
  <c r="I4" i="34"/>
  <c r="I4" i="37"/>
  <c r="I4" i="35"/>
  <c r="I4" i="80"/>
  <c r="I8" i="80"/>
  <c r="I8" i="37"/>
  <c r="I8" i="35"/>
  <c r="I12" i="31"/>
  <c r="I12" i="33"/>
  <c r="I12" i="36"/>
  <c r="I12" i="34"/>
  <c r="I12" i="80"/>
  <c r="I20" i="33"/>
  <c r="I24" i="31"/>
  <c r="I24" i="35"/>
  <c r="I7" i="42"/>
  <c r="I7" i="41"/>
  <c r="I15" i="44"/>
  <c r="I15" i="42"/>
  <c r="I23" i="40"/>
  <c r="I23" i="38"/>
  <c r="I23" i="43"/>
  <c r="I23" i="41"/>
  <c r="I23" i="79"/>
  <c r="I5" i="37"/>
  <c r="I9" i="33"/>
  <c r="I9" i="31"/>
  <c r="I9" i="36"/>
  <c r="I13" i="31"/>
  <c r="I13" i="34"/>
  <c r="I13" i="80"/>
  <c r="I13" i="37"/>
  <c r="I13" i="35"/>
  <c r="I17" i="36"/>
  <c r="I11" i="40"/>
  <c r="I11" i="38"/>
  <c r="I11" i="43"/>
  <c r="I11" i="41"/>
  <c r="I11" i="79"/>
  <c r="I8" i="40"/>
  <c r="I8" i="43"/>
  <c r="I8" i="41"/>
  <c r="I8" i="38"/>
  <c r="I8" i="44"/>
  <c r="I8" i="42"/>
  <c r="I8" i="79"/>
  <c r="I12" i="41"/>
  <c r="I12" i="79"/>
  <c r="I16" i="38"/>
  <c r="I16" i="43"/>
  <c r="I16" i="41"/>
  <c r="I20" i="42"/>
  <c r="I20" i="40"/>
  <c r="I20" i="38"/>
  <c r="I20" i="43"/>
  <c r="I20" i="41"/>
  <c r="I20" i="44"/>
  <c r="I20" i="79"/>
  <c r="I24" i="44"/>
  <c r="I24" i="38"/>
  <c r="I24" i="43"/>
  <c r="I24" i="41"/>
  <c r="I24" i="42"/>
  <c r="I24" i="40"/>
  <c r="I24" i="79"/>
  <c r="I23" i="37"/>
  <c r="I23" i="80"/>
  <c r="I6" i="36"/>
  <c r="I6" i="34"/>
  <c r="I6" i="80"/>
  <c r="I10" i="33"/>
  <c r="I10" i="37"/>
  <c r="I10" i="35"/>
  <c r="I10" i="36"/>
  <c r="I10" i="34"/>
  <c r="I10" i="80"/>
  <c r="I14" i="31"/>
  <c r="I14" i="34"/>
  <c r="I18" i="31"/>
  <c r="I18" i="35"/>
  <c r="I18" i="34"/>
  <c r="I18" i="80"/>
  <c r="I22" i="33"/>
  <c r="I22" i="37"/>
  <c r="I22" i="35"/>
  <c r="I22" i="31"/>
  <c r="I22" i="36"/>
  <c r="I5" i="38"/>
  <c r="I5" i="43"/>
  <c r="I5" i="41"/>
  <c r="I5" i="44"/>
  <c r="I5" i="42"/>
  <c r="I5" i="40"/>
  <c r="I5" i="79"/>
  <c r="I13" i="38"/>
  <c r="I13" i="43"/>
  <c r="I13" i="41"/>
  <c r="I13" i="44"/>
  <c r="I13" i="42"/>
  <c r="I13" i="40"/>
  <c r="I13" i="79"/>
  <c r="I21" i="38"/>
  <c r="I21" i="43"/>
  <c r="I21" i="41"/>
  <c r="I21" i="44"/>
  <c r="I21" i="42"/>
  <c r="I21" i="40"/>
  <c r="I21" i="79"/>
  <c r="I7" i="31"/>
  <c r="I7" i="33"/>
  <c r="I7" i="37"/>
  <c r="I7" i="35"/>
  <c r="I7" i="36"/>
  <c r="I7" i="34"/>
  <c r="I7" i="80"/>
  <c r="I11" i="31"/>
  <c r="I11" i="33"/>
  <c r="I11" i="37"/>
  <c r="I11" i="35"/>
  <c r="I11" i="36"/>
  <c r="I11" i="34"/>
  <c r="I11" i="80"/>
  <c r="I15" i="33"/>
  <c r="I15" i="34"/>
  <c r="I19" i="33"/>
  <c r="I19" i="37"/>
  <c r="I19" i="35"/>
  <c r="R27" i="28"/>
  <c r="B30" i="54"/>
  <c r="B26" i="54"/>
  <c r="B33" i="54"/>
  <c r="B29" i="54"/>
  <c r="B25" i="54"/>
  <c r="B32" i="54"/>
  <c r="B28" i="54"/>
  <c r="B31" i="54"/>
  <c r="B27" i="54"/>
  <c r="AA24" i="28"/>
  <c r="R24" i="28"/>
  <c r="I14" i="79" l="1"/>
  <c r="I23" i="42"/>
  <c r="I14" i="41"/>
  <c r="I16" i="79"/>
  <c r="I15" i="43"/>
  <c r="I16" i="44"/>
  <c r="I15" i="40"/>
  <c r="I14" i="43"/>
  <c r="I18" i="36"/>
  <c r="I18" i="37"/>
  <c r="I22" i="80"/>
  <c r="I20" i="35"/>
  <c r="I20" i="37"/>
  <c r="I20" i="80"/>
  <c r="I20" i="34"/>
  <c r="I20" i="36"/>
  <c r="I19" i="43"/>
  <c r="I19" i="31"/>
  <c r="I19" i="44"/>
  <c r="I19" i="80"/>
  <c r="I19" i="34"/>
  <c r="I17" i="35"/>
  <c r="I17" i="44"/>
  <c r="I16" i="40"/>
  <c r="I15" i="38"/>
  <c r="I15" i="79"/>
  <c r="I14" i="38"/>
  <c r="I13" i="36"/>
  <c r="I12" i="40"/>
  <c r="I12" i="43"/>
  <c r="I12" i="38"/>
  <c r="I12" i="42"/>
  <c r="I9" i="35"/>
  <c r="I9" i="37"/>
  <c r="I9" i="80"/>
  <c r="I7" i="43"/>
  <c r="I7" i="38"/>
  <c r="I7" i="40"/>
  <c r="I7" i="44"/>
  <c r="I6" i="31"/>
  <c r="I6" i="35"/>
  <c r="I6" i="37"/>
  <c r="I5" i="35"/>
  <c r="I5" i="80"/>
  <c r="I5" i="34"/>
  <c r="I5" i="36"/>
  <c r="I5" i="31"/>
  <c r="I17" i="41"/>
  <c r="I17" i="43"/>
  <c r="I24" i="80"/>
  <c r="I17" i="38"/>
  <c r="I11" i="42"/>
  <c r="I24" i="34"/>
  <c r="I16" i="37"/>
  <c r="I8" i="34"/>
  <c r="I14" i="42"/>
  <c r="I24" i="36"/>
  <c r="I16" i="33"/>
  <c r="I8" i="36"/>
  <c r="I14" i="40"/>
  <c r="I24" i="37"/>
  <c r="I12" i="35"/>
  <c r="I8" i="33"/>
  <c r="I15" i="36"/>
  <c r="I15" i="31"/>
  <c r="I14" i="36"/>
  <c r="I14" i="33"/>
  <c r="I23" i="34"/>
  <c r="I23" i="33"/>
  <c r="I19" i="38"/>
  <c r="I17" i="37"/>
  <c r="I17" i="31"/>
  <c r="I16" i="80"/>
  <c r="I16" i="31"/>
  <c r="I15" i="35"/>
  <c r="I14" i="35"/>
  <c r="I23" i="36"/>
  <c r="I23" i="31"/>
  <c r="I19" i="79"/>
  <c r="I19" i="40"/>
  <c r="I17" i="80"/>
  <c r="I17" i="33"/>
  <c r="I16" i="34"/>
  <c r="I15" i="80"/>
  <c r="I14" i="80"/>
  <c r="I19" i="41"/>
  <c r="I16" i="35"/>
  <c r="C11" i="45"/>
  <c r="AJ24" i="28"/>
  <c r="I4" i="40"/>
  <c r="I4" i="43"/>
  <c r="I4" i="41"/>
  <c r="I4" i="38"/>
  <c r="I4" i="44"/>
  <c r="I4" i="42"/>
  <c r="I4" i="79"/>
  <c r="AA50" i="28"/>
  <c r="I15" i="77" l="1"/>
  <c r="E8" i="76"/>
  <c r="D11" i="76"/>
  <c r="K11" i="76" s="1"/>
  <c r="E11" i="76"/>
  <c r="I16" i="77"/>
  <c r="I28" i="77"/>
  <c r="I11" i="77"/>
  <c r="D12" i="76"/>
  <c r="K12" i="76" s="1"/>
  <c r="K12" i="81"/>
  <c r="E12" i="76"/>
  <c r="D9" i="76"/>
  <c r="K9" i="76" s="1"/>
  <c r="K9" i="81"/>
  <c r="H12" i="81"/>
  <c r="D10" i="76"/>
  <c r="K10" i="76" s="1"/>
  <c r="K10" i="81"/>
  <c r="E9" i="76"/>
  <c r="E13" i="76" s="1"/>
  <c r="E6" i="76"/>
  <c r="E10" i="76"/>
  <c r="H10" i="81"/>
  <c r="H8" i="81"/>
  <c r="H9" i="81"/>
  <c r="D6" i="76"/>
  <c r="D8" i="76"/>
  <c r="K8" i="76" s="1"/>
  <c r="K8" i="81"/>
  <c r="I30" i="77"/>
  <c r="I27" i="77"/>
  <c r="I20" i="77"/>
  <c r="I5" i="77"/>
  <c r="J36" i="77"/>
  <c r="H32" i="77"/>
  <c r="H35" i="77"/>
  <c r="F7" i="76"/>
  <c r="I9" i="77"/>
  <c r="I17" i="77"/>
  <c r="I11" i="61"/>
  <c r="F12" i="76"/>
  <c r="K6" i="76"/>
  <c r="I8" i="77"/>
  <c r="F9" i="76"/>
  <c r="I24" i="77"/>
  <c r="F11" i="76"/>
  <c r="F32" i="77"/>
  <c r="F35" i="77"/>
  <c r="D7" i="76"/>
  <c r="I7" i="77"/>
  <c r="F8" i="76"/>
  <c r="G32" i="77"/>
  <c r="G35" i="77"/>
  <c r="E7" i="76"/>
  <c r="I6" i="77"/>
  <c r="F6" i="76"/>
  <c r="I10" i="77"/>
  <c r="I14" i="77"/>
  <c r="I18" i="77"/>
  <c r="I22" i="77"/>
  <c r="F10" i="76"/>
  <c r="E11" i="45"/>
  <c r="I25" i="33"/>
  <c r="I25" i="37"/>
  <c r="C11" i="51"/>
  <c r="I25" i="31"/>
  <c r="I25" i="36"/>
  <c r="I25" i="34"/>
  <c r="I25" i="80"/>
  <c r="I25" i="35"/>
  <c r="R50" i="28"/>
  <c r="D11" i="45"/>
  <c r="K25" i="80" l="1"/>
  <c r="J11" i="61"/>
  <c r="H14" i="81"/>
  <c r="H13" i="81"/>
  <c r="K13" i="81"/>
  <c r="E14" i="76"/>
  <c r="D9" i="68"/>
  <c r="G8" i="76"/>
  <c r="H8" i="76"/>
  <c r="K7" i="76"/>
  <c r="J35" i="77"/>
  <c r="I35" i="77"/>
  <c r="G6" i="76"/>
  <c r="F14" i="76"/>
  <c r="F13" i="76"/>
  <c r="H6" i="76"/>
  <c r="G12" i="76"/>
  <c r="H12" i="76"/>
  <c r="I32" i="77"/>
  <c r="K18" i="80"/>
  <c r="G10" i="76"/>
  <c r="H10" i="76"/>
  <c r="D13" i="76"/>
  <c r="K13" i="76" s="1"/>
  <c r="K6" i="80"/>
  <c r="G11" i="76"/>
  <c r="H11" i="76"/>
  <c r="G9" i="76"/>
  <c r="H9" i="76"/>
  <c r="D14" i="76"/>
  <c r="G7" i="76"/>
  <c r="H7" i="76"/>
  <c r="K4" i="80"/>
  <c r="K22" i="80"/>
  <c r="K19" i="80"/>
  <c r="K16" i="80"/>
  <c r="K11" i="80"/>
  <c r="K24" i="80"/>
  <c r="K20" i="80"/>
  <c r="K13" i="80"/>
  <c r="K17" i="80"/>
  <c r="K23" i="80"/>
  <c r="K5" i="80"/>
  <c r="K12" i="80"/>
  <c r="K7" i="80"/>
  <c r="K10" i="80"/>
  <c r="K8" i="80"/>
  <c r="K14" i="80"/>
  <c r="K9" i="80"/>
  <c r="K21" i="80"/>
  <c r="K15" i="80"/>
  <c r="F11" i="45"/>
  <c r="C11" i="50"/>
  <c r="I25" i="38"/>
  <c r="I25" i="43"/>
  <c r="I25" i="41"/>
  <c r="I25" i="44"/>
  <c r="I25" i="42"/>
  <c r="I25" i="40"/>
  <c r="I25" i="79"/>
  <c r="K11" i="61" l="1"/>
  <c r="L11" i="61"/>
  <c r="K14" i="81"/>
  <c r="K5" i="79"/>
  <c r="K4" i="79"/>
  <c r="E9" i="68"/>
  <c r="J9" i="68" s="1"/>
  <c r="G14" i="76"/>
  <c r="H14" i="76"/>
  <c r="R10" i="54"/>
  <c r="C9" i="68"/>
  <c r="K9" i="68" s="1"/>
  <c r="K14" i="76"/>
  <c r="R5" i="54" s="1"/>
  <c r="G13" i="76"/>
  <c r="H13" i="76"/>
  <c r="M25" i="80"/>
  <c r="M21" i="80"/>
  <c r="M17" i="80"/>
  <c r="M13" i="80"/>
  <c r="M9" i="80"/>
  <c r="M5" i="80"/>
  <c r="L24" i="80"/>
  <c r="L20" i="80"/>
  <c r="L16" i="80"/>
  <c r="L12" i="80"/>
  <c r="L8" i="80"/>
  <c r="M20" i="80"/>
  <c r="M16" i="80"/>
  <c r="M12" i="80"/>
  <c r="M8" i="80"/>
  <c r="L23" i="80"/>
  <c r="L19" i="80"/>
  <c r="L11" i="80"/>
  <c r="M24" i="80"/>
  <c r="M23" i="80"/>
  <c r="M19" i="80"/>
  <c r="M15" i="80"/>
  <c r="M11" i="80"/>
  <c r="M7" i="80"/>
  <c r="M4" i="80"/>
  <c r="L22" i="80"/>
  <c r="L18" i="80"/>
  <c r="L14" i="80"/>
  <c r="L10" i="80"/>
  <c r="L6" i="80"/>
  <c r="M22" i="80"/>
  <c r="M18" i="80"/>
  <c r="M14" i="80"/>
  <c r="M10" i="80"/>
  <c r="M6" i="80"/>
  <c r="L25" i="80"/>
  <c r="L21" i="80"/>
  <c r="L17" i="80"/>
  <c r="L13" i="80"/>
  <c r="L9" i="80"/>
  <c r="L5" i="80"/>
  <c r="L4" i="80"/>
  <c r="L15" i="80"/>
  <c r="L7" i="80"/>
  <c r="K25" i="79"/>
  <c r="K15" i="79"/>
  <c r="K14" i="79"/>
  <c r="K16" i="79"/>
  <c r="K22" i="79"/>
  <c r="K13" i="79"/>
  <c r="K10" i="79"/>
  <c r="K9" i="79"/>
  <c r="K11" i="79"/>
  <c r="K20" i="79"/>
  <c r="K6" i="79"/>
  <c r="K24" i="79"/>
  <c r="K12" i="79"/>
  <c r="K21" i="79"/>
  <c r="K18" i="79"/>
  <c r="K19" i="79"/>
  <c r="K8" i="79"/>
  <c r="K23" i="79"/>
  <c r="K17" i="79"/>
  <c r="K7" i="79"/>
  <c r="Z3" i="28"/>
  <c r="Y3" i="28"/>
  <c r="X3" i="28"/>
  <c r="W3" i="28"/>
  <c r="V3" i="28"/>
  <c r="U3" i="28"/>
  <c r="Q3" i="28"/>
  <c r="P3" i="28"/>
  <c r="O3" i="28"/>
  <c r="N3" i="28"/>
  <c r="M3" i="28"/>
  <c r="L3" i="28"/>
  <c r="H3" i="28"/>
  <c r="G3" i="28"/>
  <c r="F3" i="28"/>
  <c r="E3" i="28"/>
  <c r="D3" i="28"/>
  <c r="C3" i="28"/>
  <c r="J14" i="75"/>
  <c r="R8" i="54" l="1"/>
  <c r="R9" i="54"/>
  <c r="M18" i="79"/>
  <c r="I9" i="68"/>
  <c r="R11" i="54"/>
  <c r="R6" i="54"/>
  <c r="R4" i="54"/>
  <c r="G17" i="67"/>
  <c r="L24" i="45"/>
  <c r="R7" i="54"/>
  <c r="M4" i="79"/>
  <c r="L4" i="79"/>
  <c r="M23" i="79"/>
  <c r="M19" i="79"/>
  <c r="M15" i="79"/>
  <c r="M11" i="79"/>
  <c r="M7" i="79"/>
  <c r="L22" i="79"/>
  <c r="L18" i="79"/>
  <c r="L14" i="79"/>
  <c r="L9" i="79"/>
  <c r="L5" i="79"/>
  <c r="M22" i="79"/>
  <c r="M14" i="79"/>
  <c r="M10" i="79"/>
  <c r="M6" i="79"/>
  <c r="L25" i="79"/>
  <c r="L21" i="79"/>
  <c r="L17" i="79"/>
  <c r="L13" i="79"/>
  <c r="L8" i="79"/>
  <c r="M25" i="79"/>
  <c r="M21" i="79"/>
  <c r="M17" i="79"/>
  <c r="M13" i="79"/>
  <c r="M9" i="79"/>
  <c r="M5" i="79"/>
  <c r="L24" i="79"/>
  <c r="L20" i="79"/>
  <c r="L16" i="79"/>
  <c r="L12" i="79"/>
  <c r="L7" i="79"/>
  <c r="M24" i="79"/>
  <c r="M20" i="79"/>
  <c r="M16" i="79"/>
  <c r="M12" i="79"/>
  <c r="M8" i="79"/>
  <c r="L11" i="79"/>
  <c r="L23" i="79"/>
  <c r="L19" i="79"/>
  <c r="L15" i="79"/>
  <c r="L10" i="79"/>
  <c r="L6" i="79"/>
  <c r="H31" i="9"/>
  <c r="G31" i="9"/>
  <c r="F31" i="9"/>
  <c r="E33" i="4"/>
  <c r="E32" i="4"/>
  <c r="H31" i="4"/>
  <c r="G31" i="4"/>
  <c r="F31" i="4"/>
  <c r="E31" i="4"/>
  <c r="H31" i="3"/>
  <c r="G31" i="3"/>
  <c r="F31" i="3"/>
  <c r="F31" i="2"/>
  <c r="H31" i="24"/>
  <c r="G31" i="24"/>
  <c r="F31" i="24"/>
  <c r="B22" i="54" l="1"/>
  <c r="B20" i="54"/>
  <c r="B17" i="54"/>
  <c r="B21" i="54"/>
  <c r="B14" i="54"/>
  <c r="B18" i="54"/>
  <c r="B6" i="54"/>
  <c r="B8" i="54"/>
  <c r="B11" i="54"/>
  <c r="B9" i="54"/>
  <c r="B5" i="54"/>
  <c r="B7" i="54"/>
  <c r="B10" i="54"/>
  <c r="B4" i="54"/>
  <c r="B3" i="54"/>
  <c r="B15" i="54"/>
  <c r="B19" i="54"/>
  <c r="B16" i="54"/>
  <c r="D7" i="73"/>
  <c r="E8" i="73"/>
  <c r="F9" i="73"/>
  <c r="D11" i="73"/>
  <c r="I8" i="73"/>
  <c r="D6" i="73"/>
  <c r="E7" i="73"/>
  <c r="F8" i="73"/>
  <c r="D10" i="73"/>
  <c r="E11" i="73"/>
  <c r="I9" i="73"/>
  <c r="E6" i="73"/>
  <c r="F7" i="73"/>
  <c r="D9" i="73"/>
  <c r="E10" i="73"/>
  <c r="F11" i="73"/>
  <c r="I10" i="73"/>
  <c r="I6" i="73"/>
  <c r="F6" i="73"/>
  <c r="D8" i="73"/>
  <c r="E9" i="73"/>
  <c r="F10" i="73"/>
  <c r="I7" i="73"/>
  <c r="I11" i="73"/>
  <c r="D13" i="73" l="1"/>
  <c r="D14" i="73"/>
  <c r="F13" i="73"/>
  <c r="F14" i="73"/>
  <c r="J11" i="73"/>
  <c r="E13" i="73"/>
  <c r="E14" i="73"/>
  <c r="G6" i="73"/>
  <c r="J13" i="73" l="1"/>
  <c r="G14" i="73"/>
  <c r="G13" i="73"/>
  <c r="F16" i="67" s="1"/>
  <c r="G11" i="73"/>
  <c r="J10" i="73"/>
  <c r="G10" i="73"/>
  <c r="J9" i="73"/>
  <c r="G9" i="73"/>
  <c r="J8" i="73"/>
  <c r="G8" i="73"/>
  <c r="G7" i="73"/>
  <c r="D8" i="68"/>
  <c r="K13" i="73" l="1"/>
  <c r="H13" i="73"/>
  <c r="E39" i="72" s="1"/>
  <c r="G39" i="72" s="1"/>
  <c r="L23" i="45"/>
  <c r="K14" i="73"/>
  <c r="I24" i="45"/>
  <c r="E16" i="67"/>
  <c r="H8" i="73"/>
  <c r="K8" i="73"/>
  <c r="H9" i="73"/>
  <c r="K9" i="73"/>
  <c r="H10" i="73"/>
  <c r="K10" i="73"/>
  <c r="H11" i="73"/>
  <c r="K11" i="73"/>
  <c r="J6" i="73"/>
  <c r="J7" i="73"/>
  <c r="H6" i="73" l="1"/>
  <c r="E8" i="68"/>
  <c r="J8" i="68" s="1"/>
  <c r="C8" i="68"/>
  <c r="K6" i="73"/>
  <c r="H7" i="73"/>
  <c r="K7" i="73"/>
  <c r="I8" i="68" l="1"/>
  <c r="K8" i="68"/>
  <c r="G16" i="67"/>
  <c r="I15" i="67" l="1"/>
  <c r="I18" i="67"/>
  <c r="I4" i="67"/>
  <c r="I14" i="67"/>
  <c r="I9" i="67"/>
  <c r="I13" i="67"/>
  <c r="I8" i="67"/>
  <c r="I17" i="67"/>
  <c r="I12" i="67"/>
  <c r="I7" i="67"/>
  <c r="I11" i="67"/>
  <c r="I5" i="67"/>
  <c r="I10" i="67"/>
  <c r="I16" i="67"/>
  <c r="I6" i="67"/>
  <c r="I10" i="69"/>
  <c r="I10" i="63"/>
  <c r="I11" i="69" l="1"/>
  <c r="I9" i="69"/>
  <c r="I8" i="69"/>
  <c r="I7" i="69"/>
  <c r="I6" i="69"/>
  <c r="F11" i="69"/>
  <c r="F10" i="69"/>
  <c r="F9" i="69"/>
  <c r="F8" i="69"/>
  <c r="F7" i="69"/>
  <c r="F6" i="69"/>
  <c r="E11" i="69"/>
  <c r="E10" i="69"/>
  <c r="E9" i="69"/>
  <c r="E8" i="69"/>
  <c r="E7" i="69"/>
  <c r="E6" i="69"/>
  <c r="D11" i="69"/>
  <c r="D10" i="69"/>
  <c r="D9" i="69"/>
  <c r="D8" i="69"/>
  <c r="D7" i="69"/>
  <c r="D6" i="69"/>
  <c r="K6" i="62"/>
  <c r="D13" i="69" l="1"/>
  <c r="D14" i="69"/>
  <c r="E13" i="69"/>
  <c r="E14" i="69"/>
  <c r="I14" i="69"/>
  <c r="I13" i="69"/>
  <c r="F13" i="69"/>
  <c r="G13" i="69" s="1"/>
  <c r="F14" i="69"/>
  <c r="G14" i="69" s="1"/>
  <c r="G6" i="69"/>
  <c r="C7" i="68"/>
  <c r="K7" i="68" s="1"/>
  <c r="D7" i="68"/>
  <c r="I7" i="68" l="1"/>
  <c r="J13" i="69"/>
  <c r="J14" i="69"/>
  <c r="E7" i="68"/>
  <c r="J7" i="68" s="1"/>
  <c r="E15" i="67"/>
  <c r="K14" i="69" l="1"/>
  <c r="H14" i="69"/>
  <c r="K13" i="69"/>
  <c r="H13" i="69"/>
  <c r="E33" i="20"/>
  <c r="E33" i="19"/>
  <c r="E33" i="18"/>
  <c r="E33" i="16"/>
  <c r="E33" i="13"/>
  <c r="E33" i="12"/>
  <c r="E33" i="11"/>
  <c r="E33" i="10"/>
  <c r="E33" i="8"/>
  <c r="E33" i="7"/>
  <c r="E33" i="6"/>
  <c r="E33" i="5"/>
  <c r="E31" i="20"/>
  <c r="E31" i="19"/>
  <c r="E31" i="18"/>
  <c r="E31" i="16"/>
  <c r="E31" i="13"/>
  <c r="E31" i="12"/>
  <c r="E31" i="11"/>
  <c r="E31" i="10"/>
  <c r="E31" i="8"/>
  <c r="E31" i="7"/>
  <c r="E31" i="6"/>
  <c r="E31" i="5"/>
  <c r="E33" i="77" l="1"/>
  <c r="L22" i="45"/>
  <c r="H31" i="22"/>
  <c r="G31" i="22"/>
  <c r="F31" i="22"/>
  <c r="H31" i="21"/>
  <c r="G31" i="21"/>
  <c r="F31" i="21"/>
  <c r="E32" i="20"/>
  <c r="H31" i="20"/>
  <c r="G31" i="20"/>
  <c r="F31" i="20"/>
  <c r="E32" i="19"/>
  <c r="H31" i="19"/>
  <c r="G31" i="19"/>
  <c r="F31" i="19"/>
  <c r="E32" i="18"/>
  <c r="H31" i="18"/>
  <c r="G31" i="18"/>
  <c r="F31" i="18"/>
  <c r="G31" i="17"/>
  <c r="F31" i="17"/>
  <c r="E32" i="16"/>
  <c r="H31" i="16"/>
  <c r="G31" i="16"/>
  <c r="F31" i="16"/>
  <c r="H31" i="15"/>
  <c r="G31" i="15"/>
  <c r="F31" i="15"/>
  <c r="E32" i="13"/>
  <c r="H31" i="13"/>
  <c r="G31" i="13"/>
  <c r="F31" i="13"/>
  <c r="E32" i="12"/>
  <c r="H31" i="12"/>
  <c r="G31" i="12"/>
  <c r="F31" i="12"/>
  <c r="E32" i="11"/>
  <c r="H31" i="11"/>
  <c r="G31" i="11"/>
  <c r="F31" i="11"/>
  <c r="E32" i="10"/>
  <c r="H31" i="10"/>
  <c r="G31" i="10"/>
  <c r="F31" i="10"/>
  <c r="E32" i="8"/>
  <c r="H31" i="8"/>
  <c r="G31" i="8"/>
  <c r="F31" i="8"/>
  <c r="E32" i="7"/>
  <c r="H31" i="7"/>
  <c r="G31" i="7"/>
  <c r="F31" i="7"/>
  <c r="E32" i="6"/>
  <c r="H31" i="6"/>
  <c r="G31" i="6"/>
  <c r="F31" i="6"/>
  <c r="E32" i="5"/>
  <c r="H31" i="5"/>
  <c r="G31" i="5"/>
  <c r="F31" i="5"/>
  <c r="F33" i="77" l="1"/>
  <c r="G33" i="77"/>
  <c r="H33" i="77"/>
  <c r="H2" i="67"/>
  <c r="I2" i="67"/>
  <c r="R2" i="54"/>
  <c r="Q2" i="54"/>
  <c r="P2" i="54"/>
  <c r="I11" i="64"/>
  <c r="J11" i="64" s="1"/>
  <c r="F11" i="64"/>
  <c r="E11" i="64"/>
  <c r="D11" i="64"/>
  <c r="I10" i="64"/>
  <c r="J10" i="64" s="1"/>
  <c r="F10" i="64"/>
  <c r="E10" i="64"/>
  <c r="D10" i="64"/>
  <c r="I9" i="64"/>
  <c r="J9" i="64" s="1"/>
  <c r="F9" i="64"/>
  <c r="E9" i="64"/>
  <c r="D9" i="64"/>
  <c r="I8" i="64"/>
  <c r="J8" i="64" s="1"/>
  <c r="F8" i="64"/>
  <c r="E8" i="64"/>
  <c r="D8" i="64"/>
  <c r="I7" i="64"/>
  <c r="F7" i="64"/>
  <c r="E7" i="64"/>
  <c r="D7" i="64"/>
  <c r="I6" i="64"/>
  <c r="F6" i="64"/>
  <c r="E6" i="64"/>
  <c r="D6" i="64"/>
  <c r="I11" i="65"/>
  <c r="J11" i="65" s="1"/>
  <c r="F11" i="65"/>
  <c r="E11" i="65"/>
  <c r="D11" i="65"/>
  <c r="I10" i="65"/>
  <c r="J10" i="65" s="1"/>
  <c r="F10" i="65"/>
  <c r="E10" i="65"/>
  <c r="D10" i="65"/>
  <c r="I9" i="65"/>
  <c r="J9" i="65" s="1"/>
  <c r="F9" i="65"/>
  <c r="E9" i="65"/>
  <c r="D9" i="65"/>
  <c r="I8" i="65"/>
  <c r="J8" i="65" s="1"/>
  <c r="F8" i="65"/>
  <c r="E8" i="65"/>
  <c r="D8" i="65"/>
  <c r="I7" i="65"/>
  <c r="F7" i="65"/>
  <c r="E7" i="65"/>
  <c r="D7" i="65"/>
  <c r="I6" i="65"/>
  <c r="F6" i="65"/>
  <c r="E6" i="65"/>
  <c r="D6" i="65"/>
  <c r="I11" i="66"/>
  <c r="J11" i="66" s="1"/>
  <c r="F11" i="66"/>
  <c r="E11" i="66"/>
  <c r="D11" i="66"/>
  <c r="I10" i="66"/>
  <c r="J10" i="66" s="1"/>
  <c r="F10" i="66"/>
  <c r="E10" i="66"/>
  <c r="D10" i="66"/>
  <c r="I9" i="66"/>
  <c r="J9" i="66" s="1"/>
  <c r="F9" i="66"/>
  <c r="E9" i="66"/>
  <c r="D9" i="66"/>
  <c r="I8" i="66"/>
  <c r="F8" i="66"/>
  <c r="E8" i="66"/>
  <c r="D8" i="66"/>
  <c r="I7" i="66"/>
  <c r="F7" i="66"/>
  <c r="E7" i="66"/>
  <c r="D7" i="66"/>
  <c r="I6" i="66"/>
  <c r="F6" i="66"/>
  <c r="E6" i="66"/>
  <c r="D6" i="66"/>
  <c r="D14" i="65" l="1"/>
  <c r="D13" i="65"/>
  <c r="E13" i="64"/>
  <c r="E14" i="64"/>
  <c r="E14" i="65"/>
  <c r="E13" i="65"/>
  <c r="I13" i="64"/>
  <c r="J13" i="64" s="1"/>
  <c r="I14" i="64"/>
  <c r="J14" i="64" s="1"/>
  <c r="F13" i="65"/>
  <c r="G13" i="65" s="1"/>
  <c r="F14" i="65"/>
  <c r="G14" i="65" s="1"/>
  <c r="J6" i="65"/>
  <c r="H6" i="65" s="1"/>
  <c r="I13" i="65"/>
  <c r="J13" i="65" s="1"/>
  <c r="I14" i="65"/>
  <c r="J14" i="65" s="1"/>
  <c r="D13" i="64"/>
  <c r="D14" i="64"/>
  <c r="F13" i="64"/>
  <c r="G13" i="64" s="1"/>
  <c r="F14" i="64"/>
  <c r="E13" i="66"/>
  <c r="E14" i="66"/>
  <c r="F14" i="66"/>
  <c r="G14" i="66" s="1"/>
  <c r="F13" i="66"/>
  <c r="E3" i="68" s="1"/>
  <c r="J3" i="68" s="1"/>
  <c r="J6" i="66"/>
  <c r="H6" i="66" s="1"/>
  <c r="I14" i="66"/>
  <c r="J14" i="66" s="1"/>
  <c r="I13" i="66"/>
  <c r="J13" i="66" s="1"/>
  <c r="D14" i="66"/>
  <c r="D13" i="66"/>
  <c r="H8" i="65"/>
  <c r="G10" i="64"/>
  <c r="J7" i="66"/>
  <c r="K7" i="66" s="1"/>
  <c r="G8" i="66"/>
  <c r="H9" i="66"/>
  <c r="G10" i="66"/>
  <c r="G11" i="64"/>
  <c r="H11" i="64"/>
  <c r="K11" i="64"/>
  <c r="J6" i="64"/>
  <c r="G6" i="64"/>
  <c r="G7" i="65"/>
  <c r="G8" i="65"/>
  <c r="G10" i="65"/>
  <c r="K10" i="65"/>
  <c r="G11" i="65"/>
  <c r="H11" i="65"/>
  <c r="G6" i="65"/>
  <c r="K8" i="65"/>
  <c r="K11" i="65"/>
  <c r="H10" i="65"/>
  <c r="G7" i="66"/>
  <c r="G11" i="66"/>
  <c r="H10" i="66"/>
  <c r="K10" i="66"/>
  <c r="G9" i="66"/>
  <c r="G6" i="66"/>
  <c r="K10" i="64"/>
  <c r="G7" i="64"/>
  <c r="G8" i="64"/>
  <c r="G9" i="64"/>
  <c r="J7" i="64"/>
  <c r="H8" i="64"/>
  <c r="K8" i="64"/>
  <c r="H9" i="64"/>
  <c r="K9" i="64"/>
  <c r="H10" i="64"/>
  <c r="G9" i="65"/>
  <c r="J7" i="65"/>
  <c r="H9" i="65"/>
  <c r="K9" i="65"/>
  <c r="H7" i="66"/>
  <c r="H11" i="66"/>
  <c r="K11" i="66"/>
  <c r="J8" i="66"/>
  <c r="K9" i="66"/>
  <c r="K6" i="65" l="1"/>
  <c r="E4" i="68"/>
  <c r="J4" i="68" s="1"/>
  <c r="G14" i="64"/>
  <c r="H13" i="64"/>
  <c r="K13" i="64"/>
  <c r="K6" i="66"/>
  <c r="H14" i="64"/>
  <c r="L20" i="45" s="1"/>
  <c r="K14" i="64"/>
  <c r="E13" i="67"/>
  <c r="K14" i="65"/>
  <c r="H14" i="65"/>
  <c r="L19" i="45" s="1"/>
  <c r="K13" i="66"/>
  <c r="K13" i="65"/>
  <c r="H13" i="65"/>
  <c r="K14" i="66"/>
  <c r="H14" i="66"/>
  <c r="L18" i="45" s="1"/>
  <c r="H13" i="66"/>
  <c r="E5" i="68"/>
  <c r="J5" i="68" s="1"/>
  <c r="H6" i="64"/>
  <c r="K6" i="64"/>
  <c r="G13" i="66"/>
  <c r="H7" i="64"/>
  <c r="K7" i="64"/>
  <c r="I19" i="45"/>
  <c r="H7" i="65"/>
  <c r="K7" i="65"/>
  <c r="H8" i="66"/>
  <c r="K8" i="66"/>
  <c r="I20" i="45" l="1"/>
  <c r="G13" i="67"/>
  <c r="A3" i="33" l="1"/>
  <c r="A3" i="31"/>
  <c r="A3" i="37"/>
  <c r="A3" i="36"/>
  <c r="A3" i="35" l="1"/>
  <c r="A3" i="34"/>
  <c r="A3" i="38"/>
  <c r="A3" i="44"/>
  <c r="A3" i="43"/>
  <c r="X7" i="28"/>
  <c r="A3" i="42"/>
  <c r="A3" i="41"/>
  <c r="A3" i="40" l="1"/>
  <c r="J9" i="69" l="1"/>
  <c r="H9" i="69" s="1"/>
  <c r="I9" i="63"/>
  <c r="J11" i="69"/>
  <c r="H11" i="69" s="1"/>
  <c r="I11" i="63"/>
  <c r="D9" i="63"/>
  <c r="D11" i="63"/>
  <c r="E9" i="63"/>
  <c r="E11" i="63"/>
  <c r="G9" i="69"/>
  <c r="F9" i="63"/>
  <c r="I6" i="63"/>
  <c r="J10" i="69"/>
  <c r="H10" i="69" s="1"/>
  <c r="D6" i="63"/>
  <c r="D10" i="63"/>
  <c r="E6" i="63"/>
  <c r="E10" i="63"/>
  <c r="F6" i="63"/>
  <c r="F10" i="63"/>
  <c r="J8" i="69"/>
  <c r="I8" i="63"/>
  <c r="D8" i="63"/>
  <c r="E8" i="63"/>
  <c r="F8" i="63"/>
  <c r="F11" i="63"/>
  <c r="I7" i="63"/>
  <c r="D7" i="63"/>
  <c r="E7" i="63"/>
  <c r="F7" i="63"/>
  <c r="I13" i="63" l="1"/>
  <c r="J13" i="63" s="1"/>
  <c r="I14" i="63"/>
  <c r="J14" i="63" s="1"/>
  <c r="E13" i="63"/>
  <c r="E14" i="63"/>
  <c r="F14" i="63"/>
  <c r="G14" i="63" s="1"/>
  <c r="F13" i="63"/>
  <c r="G13" i="63" s="1"/>
  <c r="D14" i="63"/>
  <c r="D13" i="63"/>
  <c r="C6" i="68" s="1"/>
  <c r="K6" i="68" s="1"/>
  <c r="G9" i="63"/>
  <c r="G11" i="63"/>
  <c r="G8" i="63"/>
  <c r="G7" i="63"/>
  <c r="G11" i="69"/>
  <c r="G7" i="69"/>
  <c r="J7" i="63"/>
  <c r="J8" i="63"/>
  <c r="G6" i="63"/>
  <c r="D6" i="68"/>
  <c r="J6" i="63"/>
  <c r="J11" i="63"/>
  <c r="H8" i="69"/>
  <c r="K8" i="69"/>
  <c r="J6" i="69"/>
  <c r="K11" i="69"/>
  <c r="G10" i="63"/>
  <c r="J10" i="63"/>
  <c r="J9" i="63"/>
  <c r="H9" i="63" s="1"/>
  <c r="J7" i="69"/>
  <c r="G8" i="69"/>
  <c r="G10" i="69"/>
  <c r="K10" i="69"/>
  <c r="K9" i="69"/>
  <c r="H14" i="63" l="1"/>
  <c r="L21" i="45" s="1"/>
  <c r="K14" i="63"/>
  <c r="H13" i="63"/>
  <c r="K13" i="63"/>
  <c r="I6" i="68"/>
  <c r="H6" i="69"/>
  <c r="K6" i="69"/>
  <c r="E14" i="67"/>
  <c r="H7" i="69"/>
  <c r="K7" i="69"/>
  <c r="K9" i="63"/>
  <c r="H8" i="63"/>
  <c r="K8" i="63"/>
  <c r="H7" i="63"/>
  <c r="K7" i="63"/>
  <c r="H11" i="63"/>
  <c r="K11" i="63"/>
  <c r="E6" i="68"/>
  <c r="J6" i="68" s="1"/>
  <c r="H10" i="63"/>
  <c r="K10" i="63"/>
  <c r="H6" i="63"/>
  <c r="K6" i="63"/>
  <c r="G15" i="67" l="1"/>
  <c r="I21" i="45" l="1"/>
  <c r="G14" i="67"/>
  <c r="AI23" i="28" l="1"/>
  <c r="AI22" i="28"/>
  <c r="AI21" i="28"/>
  <c r="AI20" i="28"/>
  <c r="AI19" i="28"/>
  <c r="AI18" i="28"/>
  <c r="AI17" i="28"/>
  <c r="AI16" i="28"/>
  <c r="AI15" i="28"/>
  <c r="AI14" i="28"/>
  <c r="AI13" i="28"/>
  <c r="AI12" i="28"/>
  <c r="AI11" i="28"/>
  <c r="AI9" i="28"/>
  <c r="AI8" i="28"/>
  <c r="AI7" i="28"/>
  <c r="AI6" i="28"/>
  <c r="AI5" i="28"/>
  <c r="AI4" i="28"/>
  <c r="AI3" i="28"/>
  <c r="Q27" i="28" s="1"/>
  <c r="H4" i="79" s="1"/>
  <c r="AH23" i="28"/>
  <c r="AH22" i="28"/>
  <c r="AH21" i="28"/>
  <c r="AH20" i="28"/>
  <c r="AH19" i="28"/>
  <c r="AH18" i="28"/>
  <c r="AH17" i="28"/>
  <c r="AH16" i="28"/>
  <c r="AH15" i="28"/>
  <c r="AH14" i="28"/>
  <c r="AH13" i="28"/>
  <c r="AH12" i="28"/>
  <c r="AH11" i="28"/>
  <c r="AH10" i="28"/>
  <c r="AH9" i="28"/>
  <c r="AH8" i="28"/>
  <c r="AH7" i="28"/>
  <c r="AH6" i="28"/>
  <c r="AH5" i="28"/>
  <c r="AH4" i="28"/>
  <c r="AH3" i="28"/>
  <c r="P27" i="28" s="1"/>
  <c r="G4" i="79" s="1"/>
  <c r="AG23" i="28"/>
  <c r="AG22" i="28"/>
  <c r="AG21" i="28"/>
  <c r="AG20" i="28"/>
  <c r="AG19" i="28"/>
  <c r="AG18" i="28"/>
  <c r="AG17" i="28"/>
  <c r="AG16" i="28"/>
  <c r="AG15" i="28"/>
  <c r="AG14" i="28"/>
  <c r="AG13" i="28"/>
  <c r="AG12" i="28"/>
  <c r="AG11" i="28"/>
  <c r="AG10" i="28"/>
  <c r="AG9" i="28"/>
  <c r="AG8" i="28"/>
  <c r="AG7" i="28"/>
  <c r="O31" i="28" s="1"/>
  <c r="F8" i="79" s="1"/>
  <c r="AG6" i="28"/>
  <c r="AG5" i="28"/>
  <c r="AG4" i="28"/>
  <c r="AG3" i="28"/>
  <c r="AF23" i="28"/>
  <c r="AF22" i="28"/>
  <c r="AF21" i="28"/>
  <c r="AF20" i="28"/>
  <c r="AF19" i="28"/>
  <c r="AF18" i="28"/>
  <c r="AF17" i="28"/>
  <c r="AF16" i="28"/>
  <c r="AF15" i="28"/>
  <c r="AF14" i="28"/>
  <c r="AF13" i="28"/>
  <c r="AF12" i="28"/>
  <c r="AF11" i="28"/>
  <c r="AF10" i="28"/>
  <c r="AF9" i="28"/>
  <c r="AF8" i="28"/>
  <c r="AF7" i="28"/>
  <c r="AF6" i="28"/>
  <c r="AF5" i="28"/>
  <c r="AF4" i="28"/>
  <c r="AF3" i="28"/>
  <c r="AE23" i="28"/>
  <c r="AE22" i="28"/>
  <c r="AE21" i="28"/>
  <c r="AE20" i="28"/>
  <c r="AE19" i="28"/>
  <c r="AE18" i="28"/>
  <c r="AE17" i="28"/>
  <c r="AE16" i="28"/>
  <c r="AE15" i="28"/>
  <c r="AE14" i="28"/>
  <c r="AE13" i="28"/>
  <c r="AE12" i="28"/>
  <c r="AE11" i="28"/>
  <c r="AE10" i="28"/>
  <c r="AE9" i="28"/>
  <c r="AE8" i="28"/>
  <c r="AE7" i="28"/>
  <c r="AE6" i="28"/>
  <c r="AE5" i="28"/>
  <c r="AE4" i="28"/>
  <c r="AE3" i="28"/>
  <c r="AD23" i="28"/>
  <c r="AD22" i="28"/>
  <c r="AD21" i="28"/>
  <c r="AD20" i="28"/>
  <c r="AD19" i="28"/>
  <c r="AD18" i="28"/>
  <c r="AD17" i="28"/>
  <c r="AD16" i="28"/>
  <c r="AD15" i="28"/>
  <c r="AD14" i="28"/>
  <c r="AD13" i="28"/>
  <c r="AD12" i="28"/>
  <c r="AD11" i="28"/>
  <c r="AD10" i="28"/>
  <c r="AD9" i="28"/>
  <c r="L33" i="28" s="1"/>
  <c r="AD8" i="28"/>
  <c r="AD7" i="28"/>
  <c r="AD6" i="28"/>
  <c r="AD5" i="28"/>
  <c r="AD4" i="28"/>
  <c r="Z23" i="28"/>
  <c r="Z22" i="28"/>
  <c r="Z21" i="28"/>
  <c r="Z20" i="28"/>
  <c r="Z19" i="28"/>
  <c r="Z18" i="28"/>
  <c r="Z17" i="28"/>
  <c r="Z16" i="28"/>
  <c r="Z15" i="28"/>
  <c r="Z14" i="28"/>
  <c r="Z13" i="28"/>
  <c r="Z12" i="28"/>
  <c r="Z11" i="28"/>
  <c r="Z10" i="28"/>
  <c r="Z9" i="28"/>
  <c r="Z8" i="28"/>
  <c r="Z7" i="28"/>
  <c r="Z6" i="28"/>
  <c r="Z5" i="28"/>
  <c r="Z4" i="28"/>
  <c r="Y23" i="28"/>
  <c r="Y22" i="28"/>
  <c r="Y21" i="28"/>
  <c r="Y20" i="28"/>
  <c r="Y19" i="28"/>
  <c r="Y18" i="28"/>
  <c r="Y17" i="28"/>
  <c r="Y16" i="28"/>
  <c r="Y15" i="28"/>
  <c r="Y14" i="28"/>
  <c r="Y13" i="28"/>
  <c r="Y12" i="28"/>
  <c r="Y11" i="28"/>
  <c r="Y10" i="28"/>
  <c r="Y9" i="28"/>
  <c r="Y8" i="28"/>
  <c r="Y7" i="28"/>
  <c r="Y6" i="28"/>
  <c r="Y5" i="28"/>
  <c r="Y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1" i="28"/>
  <c r="X10" i="28"/>
  <c r="X9" i="28"/>
  <c r="X8" i="28"/>
  <c r="X6" i="28"/>
  <c r="X5" i="28"/>
  <c r="X4" i="28"/>
  <c r="W23" i="28"/>
  <c r="W22" i="28"/>
  <c r="W21" i="28"/>
  <c r="W20" i="28"/>
  <c r="W19" i="28"/>
  <c r="W18" i="28"/>
  <c r="W17" i="28"/>
  <c r="W16" i="28"/>
  <c r="W15" i="28"/>
  <c r="W14" i="28"/>
  <c r="W13" i="28"/>
  <c r="W12" i="28"/>
  <c r="W11" i="28"/>
  <c r="W10" i="28"/>
  <c r="W9" i="28"/>
  <c r="W8" i="28"/>
  <c r="W7" i="28"/>
  <c r="W6" i="28"/>
  <c r="W5" i="28"/>
  <c r="W4" i="28"/>
  <c r="V23" i="28"/>
  <c r="V22" i="28"/>
  <c r="V21" i="28"/>
  <c r="V20" i="28"/>
  <c r="V19" i="28"/>
  <c r="V18" i="28"/>
  <c r="V17" i="28"/>
  <c r="V16" i="28"/>
  <c r="V15" i="28"/>
  <c r="V14" i="28"/>
  <c r="V13" i="28"/>
  <c r="V12" i="28"/>
  <c r="V11" i="28"/>
  <c r="V10" i="28"/>
  <c r="V9" i="28"/>
  <c r="V8" i="28"/>
  <c r="V7" i="28"/>
  <c r="V6" i="28"/>
  <c r="V5" i="28"/>
  <c r="V4" i="28"/>
  <c r="U23" i="28"/>
  <c r="U22" i="28"/>
  <c r="U21" i="28"/>
  <c r="U20" i="28"/>
  <c r="U19" i="28"/>
  <c r="U18" i="28"/>
  <c r="U17" i="28"/>
  <c r="U16" i="28"/>
  <c r="U15" i="28"/>
  <c r="U14" i="28"/>
  <c r="U13" i="28"/>
  <c r="U12" i="28"/>
  <c r="U11" i="28"/>
  <c r="U10" i="28"/>
  <c r="U9" i="28"/>
  <c r="U8" i="28"/>
  <c r="U7" i="28"/>
  <c r="U6" i="28"/>
  <c r="U5" i="28"/>
  <c r="U4" i="28"/>
  <c r="Q23" i="28"/>
  <c r="Q22" i="28"/>
  <c r="Q21" i="28"/>
  <c r="Q20" i="28"/>
  <c r="Q19" i="28"/>
  <c r="Q18" i="28"/>
  <c r="Q17" i="28"/>
  <c r="Q16" i="28"/>
  <c r="Q15" i="28"/>
  <c r="Q14" i="28"/>
  <c r="Q13" i="28"/>
  <c r="Q12" i="28"/>
  <c r="Q11" i="28"/>
  <c r="Q10" i="28"/>
  <c r="Q9" i="28"/>
  <c r="Q8" i="28"/>
  <c r="Q7" i="28"/>
  <c r="Q6" i="28"/>
  <c r="Q5" i="28"/>
  <c r="Q4" i="28"/>
  <c r="P23" i="28"/>
  <c r="P22" i="28"/>
  <c r="P21" i="28"/>
  <c r="P20" i="28"/>
  <c r="P19" i="28"/>
  <c r="P18" i="28"/>
  <c r="P17" i="28"/>
  <c r="P16" i="28"/>
  <c r="P15" i="28"/>
  <c r="P14" i="28"/>
  <c r="P13" i="28"/>
  <c r="P12" i="28"/>
  <c r="P11" i="28"/>
  <c r="P10" i="28"/>
  <c r="P9" i="28"/>
  <c r="P8" i="28"/>
  <c r="P7" i="28"/>
  <c r="P6" i="28"/>
  <c r="P5" i="28"/>
  <c r="P4" i="28"/>
  <c r="O23" i="28"/>
  <c r="O22" i="28"/>
  <c r="O21" i="28"/>
  <c r="O20" i="28"/>
  <c r="O19" i="28"/>
  <c r="O18" i="28"/>
  <c r="O17" i="28"/>
  <c r="O16" i="28"/>
  <c r="O15" i="28"/>
  <c r="O14" i="28"/>
  <c r="O13" i="28"/>
  <c r="O12" i="28"/>
  <c r="O11" i="28"/>
  <c r="O10" i="28"/>
  <c r="O9" i="28"/>
  <c r="O8" i="28"/>
  <c r="O7" i="28"/>
  <c r="O6" i="28"/>
  <c r="O5" i="28"/>
  <c r="O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N5" i="28"/>
  <c r="N4" i="28"/>
  <c r="M23" i="28"/>
  <c r="M22" i="28"/>
  <c r="M21" i="28"/>
  <c r="M20" i="28"/>
  <c r="M19" i="28"/>
  <c r="M18" i="28"/>
  <c r="M17" i="28"/>
  <c r="M16" i="28"/>
  <c r="M15" i="28"/>
  <c r="M14" i="28"/>
  <c r="M13" i="28"/>
  <c r="M12" i="28"/>
  <c r="M11" i="28"/>
  <c r="M10" i="28"/>
  <c r="M9" i="28"/>
  <c r="M8" i="28"/>
  <c r="M7" i="28"/>
  <c r="M6" i="28"/>
  <c r="M5" i="28"/>
  <c r="M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0" i="28"/>
  <c r="H9" i="28"/>
  <c r="H8" i="28"/>
  <c r="H7" i="28"/>
  <c r="H6" i="28"/>
  <c r="H5" i="28"/>
  <c r="H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7" i="28"/>
  <c r="F6" i="28"/>
  <c r="F5" i="28"/>
  <c r="F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E5" i="28"/>
  <c r="E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C5" i="28"/>
  <c r="C4" i="28"/>
  <c r="L23" i="28"/>
  <c r="L22" i="28"/>
  <c r="L21" i="28"/>
  <c r="L20" i="28"/>
  <c r="L19" i="28"/>
  <c r="L18" i="28"/>
  <c r="L17" i="28"/>
  <c r="L16" i="28"/>
  <c r="L15" i="28"/>
  <c r="L14" i="28"/>
  <c r="L13" i="28"/>
  <c r="L12" i="28"/>
  <c r="L11" i="28"/>
  <c r="L10" i="28"/>
  <c r="L9" i="28"/>
  <c r="L8" i="28"/>
  <c r="L7" i="28"/>
  <c r="L6" i="28"/>
  <c r="L5" i="28"/>
  <c r="L4" i="28"/>
  <c r="V36" i="28" l="1"/>
  <c r="D12" i="80" s="1"/>
  <c r="W36" i="28"/>
  <c r="E12" i="80" s="1"/>
  <c r="X36" i="28"/>
  <c r="F12" i="80" s="1"/>
  <c r="O36" i="28"/>
  <c r="F12" i="79" s="1"/>
  <c r="Y24" i="28"/>
  <c r="Z24" i="28"/>
  <c r="U24" i="28"/>
  <c r="V24" i="28"/>
  <c r="W24" i="28"/>
  <c r="X24" i="28"/>
  <c r="G4" i="41"/>
  <c r="G4" i="40"/>
  <c r="G4" i="43"/>
  <c r="G4" i="44"/>
  <c r="G4" i="38"/>
  <c r="G4" i="42"/>
  <c r="O43" i="28"/>
  <c r="F18" i="79" s="1"/>
  <c r="O33" i="28"/>
  <c r="F10" i="79" s="1"/>
  <c r="F8" i="44"/>
  <c r="F8" i="40"/>
  <c r="F8" i="41"/>
  <c r="F8" i="38"/>
  <c r="F8" i="42"/>
  <c r="F8" i="43"/>
  <c r="P46" i="28"/>
  <c r="G21" i="79" s="1"/>
  <c r="O38" i="28"/>
  <c r="F14" i="79" s="1"/>
  <c r="L36" i="28"/>
  <c r="C12" i="79" s="1"/>
  <c r="M32" i="28"/>
  <c r="D9" i="79" s="1"/>
  <c r="N31" i="28"/>
  <c r="E8" i="79" s="1"/>
  <c r="N49" i="28"/>
  <c r="E24" i="79" s="1"/>
  <c r="O49" i="28"/>
  <c r="F24" i="79" s="1"/>
  <c r="O48" i="28"/>
  <c r="F23" i="79" s="1"/>
  <c r="L47" i="28"/>
  <c r="C22" i="79" s="1"/>
  <c r="P47" i="28"/>
  <c r="G22" i="79" s="1"/>
  <c r="M47" i="28"/>
  <c r="D22" i="79" s="1"/>
  <c r="Q47" i="28"/>
  <c r="H22" i="79" s="1"/>
  <c r="M46" i="28"/>
  <c r="D21" i="79" s="1"/>
  <c r="Q46" i="28"/>
  <c r="H21" i="79" s="1"/>
  <c r="N45" i="28"/>
  <c r="E20" i="79" s="1"/>
  <c r="O45" i="28"/>
  <c r="F20" i="79" s="1"/>
  <c r="O44" i="28"/>
  <c r="F19" i="79" s="1"/>
  <c r="P44" i="28"/>
  <c r="G19" i="79" s="1"/>
  <c r="L43" i="28"/>
  <c r="C18" i="79" s="1"/>
  <c r="P43" i="28"/>
  <c r="G18" i="79" s="1"/>
  <c r="M41" i="28"/>
  <c r="D17" i="79" s="1"/>
  <c r="Q41" i="28"/>
  <c r="H17" i="79" s="1"/>
  <c r="N41" i="28"/>
  <c r="E17" i="79" s="1"/>
  <c r="N40" i="28"/>
  <c r="E16" i="79" s="1"/>
  <c r="O40" i="28"/>
  <c r="F16" i="79" s="1"/>
  <c r="O39" i="28"/>
  <c r="F15" i="79" s="1"/>
  <c r="L39" i="28"/>
  <c r="C15" i="79" s="1"/>
  <c r="P39" i="28"/>
  <c r="G15" i="79" s="1"/>
  <c r="L38" i="28"/>
  <c r="C14" i="79" s="1"/>
  <c r="P38" i="28"/>
  <c r="G14" i="79" s="1"/>
  <c r="M37" i="28"/>
  <c r="D13" i="79" s="1"/>
  <c r="Q37" i="28"/>
  <c r="H13" i="79" s="1"/>
  <c r="N37" i="28"/>
  <c r="E13" i="79" s="1"/>
  <c r="P36" i="28"/>
  <c r="G12" i="79" s="1"/>
  <c r="O35" i="28"/>
  <c r="F11" i="79" s="1"/>
  <c r="L35" i="28"/>
  <c r="C11" i="79" s="1"/>
  <c r="P35" i="28"/>
  <c r="G11" i="79" s="1"/>
  <c r="C10" i="79"/>
  <c r="P33" i="28"/>
  <c r="G10" i="79" s="1"/>
  <c r="Q32" i="28"/>
  <c r="H9" i="79" s="1"/>
  <c r="O28" i="28"/>
  <c r="F5" i="79" s="1"/>
  <c r="L28" i="28"/>
  <c r="C5" i="79" s="1"/>
  <c r="P28" i="28"/>
  <c r="G5" i="79" s="1"/>
  <c r="N27" i="28"/>
  <c r="E4" i="79" s="1"/>
  <c r="O27" i="28"/>
  <c r="F4" i="79" s="1"/>
  <c r="N30" i="28"/>
  <c r="E7" i="79" s="1"/>
  <c r="O30" i="28"/>
  <c r="F7" i="79" s="1"/>
  <c r="L27" i="28"/>
  <c r="C4" i="79" s="1"/>
  <c r="L48" i="28"/>
  <c r="C23" i="79" s="1"/>
  <c r="P48" i="28"/>
  <c r="G23" i="79" s="1"/>
  <c r="N32" i="28"/>
  <c r="E9" i="79" s="1"/>
  <c r="L49" i="28"/>
  <c r="C24" i="79" s="1"/>
  <c r="P49" i="28"/>
  <c r="G24" i="79" s="1"/>
  <c r="M49" i="28"/>
  <c r="D24" i="79" s="1"/>
  <c r="Q49" i="28"/>
  <c r="H24" i="79" s="1"/>
  <c r="M48" i="28"/>
  <c r="D23" i="79" s="1"/>
  <c r="Q48" i="28"/>
  <c r="H23" i="79" s="1"/>
  <c r="N48" i="28"/>
  <c r="E23" i="79" s="1"/>
  <c r="N47" i="28"/>
  <c r="E22" i="79" s="1"/>
  <c r="O47" i="28"/>
  <c r="F22" i="79" s="1"/>
  <c r="N46" i="28"/>
  <c r="E21" i="79" s="1"/>
  <c r="O46" i="28"/>
  <c r="F21" i="79" s="1"/>
  <c r="L46" i="28"/>
  <c r="C21" i="79" s="1"/>
  <c r="L45" i="28"/>
  <c r="C20" i="79" s="1"/>
  <c r="P45" i="28"/>
  <c r="G20" i="79" s="1"/>
  <c r="M45" i="28"/>
  <c r="D20" i="79" s="1"/>
  <c r="Q45" i="28"/>
  <c r="H20" i="79" s="1"/>
  <c r="M44" i="28"/>
  <c r="D19" i="79" s="1"/>
  <c r="Q44" i="28"/>
  <c r="H19" i="79" s="1"/>
  <c r="L44" i="28"/>
  <c r="C19" i="79" s="1"/>
  <c r="N44" i="28"/>
  <c r="E19" i="79" s="1"/>
  <c r="M43" i="28"/>
  <c r="D18" i="79" s="1"/>
  <c r="Q43" i="28"/>
  <c r="H18" i="79" s="1"/>
  <c r="N43" i="28"/>
  <c r="E18" i="79" s="1"/>
  <c r="O41" i="28"/>
  <c r="F17" i="79" s="1"/>
  <c r="L41" i="28"/>
  <c r="C17" i="79" s="1"/>
  <c r="P41" i="28"/>
  <c r="G17" i="79" s="1"/>
  <c r="L40" i="28"/>
  <c r="C16" i="79" s="1"/>
  <c r="P40" i="28"/>
  <c r="G16" i="79" s="1"/>
  <c r="M40" i="28"/>
  <c r="D16" i="79" s="1"/>
  <c r="Q40" i="28"/>
  <c r="H16" i="79" s="1"/>
  <c r="M39" i="28"/>
  <c r="D15" i="79" s="1"/>
  <c r="Q39" i="28"/>
  <c r="H15" i="79" s="1"/>
  <c r="N39" i="28"/>
  <c r="E15" i="79" s="1"/>
  <c r="M38" i="28"/>
  <c r="D14" i="79" s="1"/>
  <c r="Q38" i="28"/>
  <c r="H14" i="79" s="1"/>
  <c r="N38" i="28"/>
  <c r="E14" i="79" s="1"/>
  <c r="O37" i="28"/>
  <c r="F13" i="79" s="1"/>
  <c r="L37" i="28"/>
  <c r="C13" i="79" s="1"/>
  <c r="P37" i="28"/>
  <c r="G13" i="79" s="1"/>
  <c r="M36" i="28"/>
  <c r="D12" i="79" s="1"/>
  <c r="N36" i="28"/>
  <c r="E12" i="79" s="1"/>
  <c r="M35" i="28"/>
  <c r="D11" i="79" s="1"/>
  <c r="H11" i="79"/>
  <c r="N35" i="28"/>
  <c r="E11" i="79" s="1"/>
  <c r="M33" i="28"/>
  <c r="D10" i="79" s="1"/>
  <c r="Q33" i="28"/>
  <c r="H10" i="79" s="1"/>
  <c r="N33" i="28"/>
  <c r="E10" i="79" s="1"/>
  <c r="O32" i="28"/>
  <c r="F9" i="79" s="1"/>
  <c r="L32" i="28"/>
  <c r="C9" i="79" s="1"/>
  <c r="P32" i="28"/>
  <c r="G9" i="79" s="1"/>
  <c r="L31" i="28"/>
  <c r="C8" i="79" s="1"/>
  <c r="P31" i="28"/>
  <c r="G8" i="79" s="1"/>
  <c r="M31" i="28"/>
  <c r="D8" i="79" s="1"/>
  <c r="Q31" i="28"/>
  <c r="L30" i="28"/>
  <c r="C7" i="79" s="1"/>
  <c r="P30" i="28"/>
  <c r="G7" i="79" s="1"/>
  <c r="M30" i="28"/>
  <c r="D7" i="79" s="1"/>
  <c r="Q30" i="28"/>
  <c r="H7" i="79" s="1"/>
  <c r="L29" i="28"/>
  <c r="C6" i="79" s="1"/>
  <c r="P29" i="28"/>
  <c r="G6" i="79" s="1"/>
  <c r="M29" i="28"/>
  <c r="D6" i="79" s="1"/>
  <c r="Q29" i="28"/>
  <c r="H6" i="79" s="1"/>
  <c r="N29" i="28"/>
  <c r="E6" i="79" s="1"/>
  <c r="O29" i="28"/>
  <c r="F6" i="79" s="1"/>
  <c r="M28" i="28"/>
  <c r="D5" i="79" s="1"/>
  <c r="Q28" i="28"/>
  <c r="H5" i="79" s="1"/>
  <c r="N28" i="28"/>
  <c r="E5" i="79" s="1"/>
  <c r="U27" i="28"/>
  <c r="C4" i="80" s="1"/>
  <c r="M27" i="28"/>
  <c r="D4" i="79" s="1"/>
  <c r="G24" i="28"/>
  <c r="L24" i="28"/>
  <c r="U28" i="28"/>
  <c r="C5" i="80" s="1"/>
  <c r="U32" i="28"/>
  <c r="C9" i="80" s="1"/>
  <c r="U37" i="28"/>
  <c r="C13" i="80" s="1"/>
  <c r="U41" i="28"/>
  <c r="C17" i="80" s="1"/>
  <c r="U46" i="28"/>
  <c r="C21" i="80" s="1"/>
  <c r="V27" i="28"/>
  <c r="D4" i="80" s="1"/>
  <c r="V31" i="28"/>
  <c r="D8" i="80" s="1"/>
  <c r="V40" i="28"/>
  <c r="D16" i="80" s="1"/>
  <c r="V45" i="28"/>
  <c r="D20" i="80" s="1"/>
  <c r="V49" i="28"/>
  <c r="D24" i="80" s="1"/>
  <c r="W30" i="28"/>
  <c r="E7" i="80" s="1"/>
  <c r="W35" i="28"/>
  <c r="E11" i="80" s="1"/>
  <c r="W39" i="28"/>
  <c r="E15" i="80" s="1"/>
  <c r="W44" i="28"/>
  <c r="E19" i="80" s="1"/>
  <c r="W48" i="28"/>
  <c r="E23" i="80" s="1"/>
  <c r="X29" i="28"/>
  <c r="F6" i="80" s="1"/>
  <c r="X33" i="28"/>
  <c r="F10" i="80" s="1"/>
  <c r="X38" i="28"/>
  <c r="F14" i="80" s="1"/>
  <c r="X43" i="28"/>
  <c r="F18" i="80" s="1"/>
  <c r="X47" i="28"/>
  <c r="F22" i="80" s="1"/>
  <c r="Y28" i="28"/>
  <c r="G5" i="80" s="1"/>
  <c r="Y32" i="28"/>
  <c r="G9" i="80" s="1"/>
  <c r="Y37" i="28"/>
  <c r="G13" i="80" s="1"/>
  <c r="Y41" i="28"/>
  <c r="G17" i="80" s="1"/>
  <c r="Y46" i="28"/>
  <c r="G21" i="80" s="1"/>
  <c r="Z27" i="28"/>
  <c r="H4" i="80" s="1"/>
  <c r="Z31" i="28"/>
  <c r="H8" i="80" s="1"/>
  <c r="Z40" i="28"/>
  <c r="H16" i="80" s="1"/>
  <c r="Z45" i="28"/>
  <c r="H20" i="80" s="1"/>
  <c r="Z49" i="28"/>
  <c r="H24" i="80" s="1"/>
  <c r="D24" i="28"/>
  <c r="U29" i="28"/>
  <c r="C6" i="80" s="1"/>
  <c r="U33" i="28"/>
  <c r="C10" i="80" s="1"/>
  <c r="U38" i="28"/>
  <c r="C14" i="80" s="1"/>
  <c r="U43" i="28"/>
  <c r="C18" i="80" s="1"/>
  <c r="U47" i="28"/>
  <c r="C22" i="80" s="1"/>
  <c r="V28" i="28"/>
  <c r="D5" i="80" s="1"/>
  <c r="V32" i="28"/>
  <c r="D9" i="80" s="1"/>
  <c r="V37" i="28"/>
  <c r="D13" i="80" s="1"/>
  <c r="V41" i="28"/>
  <c r="D17" i="80" s="1"/>
  <c r="V46" i="28"/>
  <c r="D21" i="80" s="1"/>
  <c r="W27" i="28"/>
  <c r="E4" i="80" s="1"/>
  <c r="W31" i="28"/>
  <c r="E8" i="80" s="1"/>
  <c r="W40" i="28"/>
  <c r="E16" i="80" s="1"/>
  <c r="W45" i="28"/>
  <c r="E20" i="80" s="1"/>
  <c r="W49" i="28"/>
  <c r="E24" i="80" s="1"/>
  <c r="X30" i="28"/>
  <c r="F7" i="80" s="1"/>
  <c r="X35" i="28"/>
  <c r="F11" i="80" s="1"/>
  <c r="X39" i="28"/>
  <c r="F15" i="80" s="1"/>
  <c r="X44" i="28"/>
  <c r="F19" i="80" s="1"/>
  <c r="X48" i="28"/>
  <c r="F23" i="80" s="1"/>
  <c r="Y29" i="28"/>
  <c r="G6" i="80" s="1"/>
  <c r="Y33" i="28"/>
  <c r="G10" i="80" s="1"/>
  <c r="Y38" i="28"/>
  <c r="G14" i="80" s="1"/>
  <c r="Y43" i="28"/>
  <c r="G18" i="80" s="1"/>
  <c r="Y47" i="28"/>
  <c r="G22" i="80" s="1"/>
  <c r="Z28" i="28"/>
  <c r="H5" i="80" s="1"/>
  <c r="Z32" i="28"/>
  <c r="H9" i="80" s="1"/>
  <c r="Z37" i="28"/>
  <c r="H13" i="80" s="1"/>
  <c r="Z41" i="28"/>
  <c r="H17" i="80" s="1"/>
  <c r="Z46" i="28"/>
  <c r="H21" i="80" s="1"/>
  <c r="E24" i="28"/>
  <c r="M24" i="28"/>
  <c r="P24" i="28"/>
  <c r="Q24" i="28"/>
  <c r="U30" i="28"/>
  <c r="C7" i="80" s="1"/>
  <c r="U35" i="28"/>
  <c r="C11" i="80" s="1"/>
  <c r="U39" i="28"/>
  <c r="C15" i="80" s="1"/>
  <c r="U44" i="28"/>
  <c r="C19" i="80" s="1"/>
  <c r="U48" i="28"/>
  <c r="C23" i="80" s="1"/>
  <c r="V29" i="28"/>
  <c r="D6" i="80" s="1"/>
  <c r="V33" i="28"/>
  <c r="D10" i="80" s="1"/>
  <c r="V38" i="28"/>
  <c r="D14" i="80" s="1"/>
  <c r="V43" i="28"/>
  <c r="D18" i="80" s="1"/>
  <c r="V47" i="28"/>
  <c r="D22" i="80" s="1"/>
  <c r="W28" i="28"/>
  <c r="E5" i="80" s="1"/>
  <c r="W32" i="28"/>
  <c r="E9" i="80" s="1"/>
  <c r="W37" i="28"/>
  <c r="E13" i="80" s="1"/>
  <c r="W41" i="28"/>
  <c r="E17" i="80" s="1"/>
  <c r="W46" i="28"/>
  <c r="E21" i="80" s="1"/>
  <c r="X27" i="28"/>
  <c r="F4" i="80" s="1"/>
  <c r="X31" i="28"/>
  <c r="F8" i="80" s="1"/>
  <c r="X40" i="28"/>
  <c r="F16" i="80" s="1"/>
  <c r="X45" i="28"/>
  <c r="F20" i="80" s="1"/>
  <c r="X49" i="28"/>
  <c r="F24" i="80" s="1"/>
  <c r="Y30" i="28"/>
  <c r="G7" i="80" s="1"/>
  <c r="Y35" i="28"/>
  <c r="G11" i="80" s="1"/>
  <c r="Y39" i="28"/>
  <c r="G15" i="80" s="1"/>
  <c r="Y44" i="28"/>
  <c r="G19" i="80" s="1"/>
  <c r="Y48" i="28"/>
  <c r="G23" i="80" s="1"/>
  <c r="Z29" i="28"/>
  <c r="H6" i="80" s="1"/>
  <c r="Z33" i="28"/>
  <c r="H10" i="80" s="1"/>
  <c r="Z38" i="28"/>
  <c r="H14" i="80" s="1"/>
  <c r="Z43" i="28"/>
  <c r="H18" i="80" s="1"/>
  <c r="Z47" i="28"/>
  <c r="H22" i="80" s="1"/>
  <c r="F24" i="28"/>
  <c r="N24" i="28"/>
  <c r="U31" i="28"/>
  <c r="C8" i="80" s="1"/>
  <c r="U36" i="28"/>
  <c r="C12" i="80" s="1"/>
  <c r="U40" i="28"/>
  <c r="C16" i="80" s="1"/>
  <c r="U45" i="28"/>
  <c r="C20" i="80" s="1"/>
  <c r="U49" i="28"/>
  <c r="C24" i="80" s="1"/>
  <c r="V30" i="28"/>
  <c r="D7" i="80" s="1"/>
  <c r="V35" i="28"/>
  <c r="D11" i="80" s="1"/>
  <c r="V39" i="28"/>
  <c r="D15" i="80" s="1"/>
  <c r="V44" i="28"/>
  <c r="D19" i="80" s="1"/>
  <c r="V48" i="28"/>
  <c r="D23" i="80" s="1"/>
  <c r="W29" i="28"/>
  <c r="E6" i="80" s="1"/>
  <c r="W33" i="28"/>
  <c r="E10" i="80" s="1"/>
  <c r="W38" i="28"/>
  <c r="E14" i="80" s="1"/>
  <c r="W43" i="28"/>
  <c r="E18" i="80" s="1"/>
  <c r="W47" i="28"/>
  <c r="E22" i="80" s="1"/>
  <c r="X28" i="28"/>
  <c r="F5" i="80" s="1"/>
  <c r="X32" i="28"/>
  <c r="F9" i="80" s="1"/>
  <c r="X37" i="28"/>
  <c r="F13" i="80" s="1"/>
  <c r="X41" i="28"/>
  <c r="F17" i="80" s="1"/>
  <c r="X46" i="28"/>
  <c r="F21" i="80" s="1"/>
  <c r="Y27" i="28"/>
  <c r="G4" i="80" s="1"/>
  <c r="Y31" i="28"/>
  <c r="G8" i="80" s="1"/>
  <c r="Y36" i="28"/>
  <c r="G12" i="80" s="1"/>
  <c r="Y40" i="28"/>
  <c r="G16" i="80" s="1"/>
  <c r="Y45" i="28"/>
  <c r="G20" i="80" s="1"/>
  <c r="Y49" i="28"/>
  <c r="G24" i="80" s="1"/>
  <c r="Z30" i="28"/>
  <c r="H7" i="80" s="1"/>
  <c r="Z35" i="28"/>
  <c r="H11" i="80" s="1"/>
  <c r="Z39" i="28"/>
  <c r="H15" i="80" s="1"/>
  <c r="Z44" i="28"/>
  <c r="H19" i="80" s="1"/>
  <c r="Z48" i="28"/>
  <c r="H23" i="80" s="1"/>
  <c r="C24" i="28"/>
  <c r="H24" i="28"/>
  <c r="O24" i="28"/>
  <c r="D50" i="28"/>
  <c r="L50" i="28" l="1"/>
  <c r="C10" i="45"/>
  <c r="AI24" i="28"/>
  <c r="Q50" i="28" s="1"/>
  <c r="H25" i="79" s="1"/>
  <c r="E13" i="45"/>
  <c r="E12" i="45"/>
  <c r="C12" i="51"/>
  <c r="H8" i="40"/>
  <c r="H8" i="79"/>
  <c r="Z50" i="28"/>
  <c r="H12" i="38"/>
  <c r="H12" i="41"/>
  <c r="H12" i="40"/>
  <c r="H12" i="43"/>
  <c r="H12" i="42"/>
  <c r="H12" i="44"/>
  <c r="H4" i="43"/>
  <c r="H4" i="44"/>
  <c r="H4" i="42"/>
  <c r="H4" i="38"/>
  <c r="H4" i="41"/>
  <c r="H4" i="40"/>
  <c r="H4" i="36"/>
  <c r="H4" i="37"/>
  <c r="H4" i="31"/>
  <c r="H4" i="33"/>
  <c r="H4" i="35"/>
  <c r="H4" i="34"/>
  <c r="G4" i="37"/>
  <c r="G4" i="36"/>
  <c r="G4" i="31"/>
  <c r="G4" i="33"/>
  <c r="G4" i="34"/>
  <c r="G4" i="35"/>
  <c r="U50" i="28"/>
  <c r="C25" i="80" s="1"/>
  <c r="H24" i="41"/>
  <c r="H24" i="43"/>
  <c r="H24" i="44"/>
  <c r="H24" i="42"/>
  <c r="H24" i="38"/>
  <c r="H24" i="40"/>
  <c r="C24" i="31"/>
  <c r="C24" i="37"/>
  <c r="C24" i="33"/>
  <c r="C24" i="36"/>
  <c r="C24" i="34"/>
  <c r="C24" i="35"/>
  <c r="E24" i="36"/>
  <c r="E24" i="37"/>
  <c r="E24" i="31"/>
  <c r="E24" i="33"/>
  <c r="E24" i="34"/>
  <c r="E24" i="35"/>
  <c r="D24" i="33"/>
  <c r="D24" i="31"/>
  <c r="D24" i="36"/>
  <c r="D24" i="37"/>
  <c r="D24" i="35"/>
  <c r="D24" i="34"/>
  <c r="D24" i="43"/>
  <c r="D24" i="42"/>
  <c r="D24" i="44"/>
  <c r="D24" i="38"/>
  <c r="D24" i="41"/>
  <c r="D24" i="40"/>
  <c r="F24" i="44"/>
  <c r="F24" i="38"/>
  <c r="F24" i="42"/>
  <c r="F24" i="40"/>
  <c r="F24" i="41"/>
  <c r="F24" i="43"/>
  <c r="H24" i="33"/>
  <c r="H24" i="36"/>
  <c r="H24" i="37"/>
  <c r="H24" i="31"/>
  <c r="H24" i="35"/>
  <c r="H24" i="34"/>
  <c r="G24" i="38"/>
  <c r="G24" i="41"/>
  <c r="G24" i="43"/>
  <c r="G24" i="44"/>
  <c r="G24" i="42"/>
  <c r="G24" i="40"/>
  <c r="E24" i="43"/>
  <c r="E24" i="42"/>
  <c r="E24" i="44"/>
  <c r="E24" i="38"/>
  <c r="E24" i="41"/>
  <c r="E24" i="40"/>
  <c r="F24" i="37"/>
  <c r="F24" i="31"/>
  <c r="F24" i="33"/>
  <c r="F24" i="36"/>
  <c r="F24" i="34"/>
  <c r="F24" i="35"/>
  <c r="G24" i="31"/>
  <c r="G24" i="33"/>
  <c r="G24" i="36"/>
  <c r="G24" i="37"/>
  <c r="G24" i="34"/>
  <c r="G24" i="35"/>
  <c r="C24" i="38"/>
  <c r="C24" i="41"/>
  <c r="C24" i="43"/>
  <c r="C24" i="42"/>
  <c r="C24" i="44"/>
  <c r="C24" i="40"/>
  <c r="D23" i="37"/>
  <c r="D23" i="31"/>
  <c r="D23" i="36"/>
  <c r="D23" i="33"/>
  <c r="D23" i="35"/>
  <c r="D23" i="34"/>
  <c r="F23" i="33"/>
  <c r="F23" i="37"/>
  <c r="F23" i="31"/>
  <c r="F23" i="36"/>
  <c r="F23" i="35"/>
  <c r="F23" i="34"/>
  <c r="F23" i="41"/>
  <c r="F23" i="38"/>
  <c r="F23" i="44"/>
  <c r="F23" i="42"/>
  <c r="F23" i="40"/>
  <c r="F23" i="43"/>
  <c r="E23" i="41"/>
  <c r="E23" i="38"/>
  <c r="E23" i="42"/>
  <c r="E23" i="44"/>
  <c r="E23" i="43"/>
  <c r="E23" i="40"/>
  <c r="G23" i="44"/>
  <c r="G23" i="42"/>
  <c r="G23" i="43"/>
  <c r="G23" i="38"/>
  <c r="G23" i="41"/>
  <c r="G23" i="40"/>
  <c r="H23" i="37"/>
  <c r="H23" i="36"/>
  <c r="H23" i="33"/>
  <c r="H23" i="31"/>
  <c r="H23" i="35"/>
  <c r="H23" i="34"/>
  <c r="H23" i="43"/>
  <c r="H23" i="38"/>
  <c r="H23" i="41"/>
  <c r="H23" i="44"/>
  <c r="H23" i="42"/>
  <c r="H23" i="40"/>
  <c r="C23" i="38"/>
  <c r="C23" i="44"/>
  <c r="C23" i="43"/>
  <c r="C23" i="41"/>
  <c r="C23" i="42"/>
  <c r="C23" i="40"/>
  <c r="G23" i="31"/>
  <c r="G23" i="37"/>
  <c r="G23" i="36"/>
  <c r="G23" i="33"/>
  <c r="G23" i="35"/>
  <c r="G23" i="34"/>
  <c r="E23" i="36"/>
  <c r="E23" i="33"/>
  <c r="E23" i="31"/>
  <c r="E23" i="37"/>
  <c r="E23" i="35"/>
  <c r="E23" i="34"/>
  <c r="C23" i="31"/>
  <c r="C23" i="37"/>
  <c r="C23" i="36"/>
  <c r="C23" i="33"/>
  <c r="C23" i="35"/>
  <c r="C23" i="34"/>
  <c r="D23" i="43"/>
  <c r="D23" i="41"/>
  <c r="D23" i="38"/>
  <c r="D23" i="42"/>
  <c r="D23" i="44"/>
  <c r="D23" i="40"/>
  <c r="D22" i="33"/>
  <c r="D22" i="36"/>
  <c r="D22" i="37"/>
  <c r="D22" i="31"/>
  <c r="D22" i="35"/>
  <c r="D22" i="34"/>
  <c r="E22" i="43"/>
  <c r="E22" i="42"/>
  <c r="E22" i="41"/>
  <c r="E22" i="44"/>
  <c r="E22" i="38"/>
  <c r="E22" i="40"/>
  <c r="H22" i="42"/>
  <c r="H22" i="38"/>
  <c r="H22" i="43"/>
  <c r="H22" i="44"/>
  <c r="H22" i="41"/>
  <c r="H22" i="40"/>
  <c r="D22" i="43"/>
  <c r="D22" i="42"/>
  <c r="D22" i="41"/>
  <c r="D22" i="44"/>
  <c r="D22" i="38"/>
  <c r="D22" i="40"/>
  <c r="E22" i="36"/>
  <c r="E22" i="37"/>
  <c r="E22" i="31"/>
  <c r="E22" i="33"/>
  <c r="E22" i="34"/>
  <c r="E22" i="35"/>
  <c r="G22" i="38"/>
  <c r="G22" i="42"/>
  <c r="G22" i="41"/>
  <c r="G22" i="43"/>
  <c r="G22" i="44"/>
  <c r="G22" i="40"/>
  <c r="C22" i="31"/>
  <c r="C22" i="33"/>
  <c r="C22" i="36"/>
  <c r="C22" i="37"/>
  <c r="C22" i="34"/>
  <c r="C22" i="35"/>
  <c r="H22" i="33"/>
  <c r="H22" i="36"/>
  <c r="H22" i="37"/>
  <c r="H22" i="31"/>
  <c r="H22" i="35"/>
  <c r="H22" i="34"/>
  <c r="G22" i="31"/>
  <c r="G22" i="33"/>
  <c r="G22" i="36"/>
  <c r="G22" i="37"/>
  <c r="G22" i="34"/>
  <c r="G22" i="35"/>
  <c r="F22" i="37"/>
  <c r="F22" i="31"/>
  <c r="F22" i="33"/>
  <c r="F22" i="36"/>
  <c r="F22" i="35"/>
  <c r="F22" i="34"/>
  <c r="F22" i="40"/>
  <c r="F22" i="44"/>
  <c r="F22" i="41"/>
  <c r="F22" i="43"/>
  <c r="F22" i="38"/>
  <c r="F22" i="42"/>
  <c r="C22" i="38"/>
  <c r="C22" i="43"/>
  <c r="C22" i="41"/>
  <c r="C22" i="44"/>
  <c r="C22" i="42"/>
  <c r="C22" i="40"/>
  <c r="E21" i="36"/>
  <c r="E21" i="31"/>
  <c r="E21" i="33"/>
  <c r="E21" i="37"/>
  <c r="E21" i="34"/>
  <c r="E21" i="35"/>
  <c r="D21" i="37"/>
  <c r="D21" i="31"/>
  <c r="D21" i="36"/>
  <c r="D21" i="33"/>
  <c r="D21" i="34"/>
  <c r="D21" i="35"/>
  <c r="C21" i="31"/>
  <c r="C21" i="37"/>
  <c r="C21" i="36"/>
  <c r="C21" i="33"/>
  <c r="C21" i="34"/>
  <c r="C21" i="35"/>
  <c r="C21" i="38"/>
  <c r="C21" i="42"/>
  <c r="C21" i="44"/>
  <c r="C21" i="41"/>
  <c r="C21" i="43"/>
  <c r="C21" i="40"/>
  <c r="F21" i="33"/>
  <c r="F21" i="37"/>
  <c r="F21" i="36"/>
  <c r="F21" i="31"/>
  <c r="F21" i="35"/>
  <c r="F21" i="34"/>
  <c r="G21" i="31"/>
  <c r="G21" i="33"/>
  <c r="G21" i="37"/>
  <c r="G21" i="36"/>
  <c r="G21" i="34"/>
  <c r="G21" i="35"/>
  <c r="F21" i="42"/>
  <c r="F21" i="44"/>
  <c r="F21" i="43"/>
  <c r="F21" i="40"/>
  <c r="F21" i="41"/>
  <c r="F21" i="38"/>
  <c r="H21" i="37"/>
  <c r="H21" i="33"/>
  <c r="H21" i="36"/>
  <c r="H21" i="31"/>
  <c r="H21" i="34"/>
  <c r="H21" i="35"/>
  <c r="E21" i="43"/>
  <c r="E21" i="38"/>
  <c r="E21" i="42"/>
  <c r="E21" i="44"/>
  <c r="E21" i="41"/>
  <c r="E21" i="40"/>
  <c r="H21" i="44"/>
  <c r="H21" i="42"/>
  <c r="H21" i="43"/>
  <c r="H21" i="41"/>
  <c r="H21" i="38"/>
  <c r="H21" i="40"/>
  <c r="D21" i="44"/>
  <c r="D21" i="41"/>
  <c r="D21" i="38"/>
  <c r="D21" i="43"/>
  <c r="D21" i="42"/>
  <c r="D21" i="40"/>
  <c r="G21" i="38"/>
  <c r="G21" i="44"/>
  <c r="G21" i="42"/>
  <c r="G21" i="43"/>
  <c r="G21" i="41"/>
  <c r="G21" i="40"/>
  <c r="G20" i="31"/>
  <c r="G20" i="33"/>
  <c r="G20" i="36"/>
  <c r="G20" i="37"/>
  <c r="G20" i="34"/>
  <c r="G20" i="35"/>
  <c r="H20" i="41"/>
  <c r="H20" i="42"/>
  <c r="H20" i="38"/>
  <c r="H20" i="43"/>
  <c r="H20" i="44"/>
  <c r="H20" i="40"/>
  <c r="F20" i="44"/>
  <c r="F20" i="40"/>
  <c r="F20" i="43"/>
  <c r="F20" i="38"/>
  <c r="F20" i="42"/>
  <c r="F20" i="41"/>
  <c r="D20" i="44"/>
  <c r="D20" i="38"/>
  <c r="D20" i="43"/>
  <c r="D20" i="42"/>
  <c r="D20" i="41"/>
  <c r="D20" i="40"/>
  <c r="E20" i="43"/>
  <c r="E20" i="42"/>
  <c r="E20" i="41"/>
  <c r="E20" i="44"/>
  <c r="E20" i="38"/>
  <c r="E20" i="40"/>
  <c r="C20" i="31"/>
  <c r="C20" i="33"/>
  <c r="C20" i="36"/>
  <c r="C20" i="37"/>
  <c r="C20" i="34"/>
  <c r="C20" i="35"/>
  <c r="F20" i="37"/>
  <c r="F20" i="31"/>
  <c r="F20" i="33"/>
  <c r="F20" i="36"/>
  <c r="F20" i="34"/>
  <c r="F20" i="35"/>
  <c r="E20" i="36"/>
  <c r="E20" i="37"/>
  <c r="E20" i="31"/>
  <c r="E20" i="33"/>
  <c r="E20" i="34"/>
  <c r="E20" i="35"/>
  <c r="D20" i="33"/>
  <c r="D20" i="36"/>
  <c r="D20" i="37"/>
  <c r="D20" i="31"/>
  <c r="D20" i="35"/>
  <c r="D20" i="34"/>
  <c r="G20" i="38"/>
  <c r="G20" i="43"/>
  <c r="G20" i="44"/>
  <c r="G20" i="42"/>
  <c r="G20" i="41"/>
  <c r="G20" i="40"/>
  <c r="H20" i="33"/>
  <c r="H20" i="36"/>
  <c r="H20" i="37"/>
  <c r="H20" i="31"/>
  <c r="H20" i="35"/>
  <c r="H20" i="34"/>
  <c r="C20" i="38"/>
  <c r="C20" i="41"/>
  <c r="C20" i="44"/>
  <c r="C20" i="43"/>
  <c r="C20" i="42"/>
  <c r="C20" i="40"/>
  <c r="D19" i="37"/>
  <c r="D19" i="36"/>
  <c r="D19" i="33"/>
  <c r="D19" i="31"/>
  <c r="D19" i="35"/>
  <c r="D19" i="34"/>
  <c r="G19" i="31"/>
  <c r="G19" i="36"/>
  <c r="G19" i="33"/>
  <c r="G19" i="37"/>
  <c r="G19" i="34"/>
  <c r="G19" i="35"/>
  <c r="F19" i="33"/>
  <c r="F19" i="36"/>
  <c r="F19" i="31"/>
  <c r="F19" i="37"/>
  <c r="F19" i="35"/>
  <c r="F19" i="34"/>
  <c r="E19" i="36"/>
  <c r="E19" i="37"/>
  <c r="E19" i="33"/>
  <c r="E19" i="31"/>
  <c r="E19" i="34"/>
  <c r="E19" i="35"/>
  <c r="C19" i="38"/>
  <c r="C19" i="42"/>
  <c r="C19" i="41"/>
  <c r="C19" i="44"/>
  <c r="C19" i="43"/>
  <c r="C19" i="40"/>
  <c r="C19" i="31"/>
  <c r="C19" i="36"/>
  <c r="C19" i="37"/>
  <c r="C19" i="33"/>
  <c r="C19" i="34"/>
  <c r="C19" i="35"/>
  <c r="H19" i="44"/>
  <c r="H19" i="42"/>
  <c r="H19" i="38"/>
  <c r="H19" i="43"/>
  <c r="H19" i="41"/>
  <c r="H19" i="40"/>
  <c r="G19" i="38"/>
  <c r="G19" i="41"/>
  <c r="G19" i="44"/>
  <c r="G19" i="42"/>
  <c r="G19" i="43"/>
  <c r="G19" i="40"/>
  <c r="E19" i="43"/>
  <c r="E19" i="42"/>
  <c r="E19" i="44"/>
  <c r="E19" i="41"/>
  <c r="E19" i="38"/>
  <c r="E19" i="40"/>
  <c r="H19" i="37"/>
  <c r="H19" i="31"/>
  <c r="H19" i="36"/>
  <c r="H19" i="33"/>
  <c r="H19" i="35"/>
  <c r="H19" i="34"/>
  <c r="D19" i="44"/>
  <c r="D19" i="41"/>
  <c r="D19" i="38"/>
  <c r="D19" i="43"/>
  <c r="D19" i="42"/>
  <c r="D19" i="40"/>
  <c r="F19" i="44"/>
  <c r="F19" i="43"/>
  <c r="F19" i="41"/>
  <c r="F19" i="38"/>
  <c r="F19" i="42"/>
  <c r="F19" i="40"/>
  <c r="G18" i="31"/>
  <c r="G18" i="33"/>
  <c r="G18" i="36"/>
  <c r="G18" i="37"/>
  <c r="G18" i="34"/>
  <c r="G18" i="35"/>
  <c r="F18" i="37"/>
  <c r="F18" i="31"/>
  <c r="F18" i="33"/>
  <c r="F18" i="36"/>
  <c r="F18" i="35"/>
  <c r="F18" i="34"/>
  <c r="G18" i="38"/>
  <c r="G18" i="43"/>
  <c r="G18" i="42"/>
  <c r="G18" i="44"/>
  <c r="G18" i="41"/>
  <c r="G18" i="40"/>
  <c r="D18" i="33"/>
  <c r="D18" i="36"/>
  <c r="D18" i="37"/>
  <c r="D18" i="31"/>
  <c r="D18" i="35"/>
  <c r="D18" i="34"/>
  <c r="C18" i="31"/>
  <c r="C18" i="36"/>
  <c r="C18" i="37"/>
  <c r="C18" i="33"/>
  <c r="C18" i="34"/>
  <c r="C18" i="35"/>
  <c r="E18" i="43"/>
  <c r="E18" i="42"/>
  <c r="E18" i="41"/>
  <c r="E18" i="38"/>
  <c r="E18" i="44"/>
  <c r="E18" i="40"/>
  <c r="C18" i="38"/>
  <c r="C18" i="44"/>
  <c r="C18" i="43"/>
  <c r="C18" i="42"/>
  <c r="C18" i="41"/>
  <c r="C18" i="40"/>
  <c r="H18" i="42"/>
  <c r="H18" i="41"/>
  <c r="H18" i="38"/>
  <c r="H18" i="43"/>
  <c r="H18" i="44"/>
  <c r="H18" i="40"/>
  <c r="H18" i="33"/>
  <c r="H18" i="37"/>
  <c r="H18" i="31"/>
  <c r="H18" i="36"/>
  <c r="H18" i="35"/>
  <c r="H18" i="34"/>
  <c r="E18" i="36"/>
  <c r="E18" i="37"/>
  <c r="E18" i="31"/>
  <c r="E18" i="33"/>
  <c r="E18" i="34"/>
  <c r="E18" i="35"/>
  <c r="D18" i="44"/>
  <c r="D18" i="43"/>
  <c r="D18" i="42"/>
  <c r="D18" i="41"/>
  <c r="D18" i="38"/>
  <c r="D18" i="40"/>
  <c r="F18" i="40"/>
  <c r="F18" i="44"/>
  <c r="F18" i="41"/>
  <c r="F18" i="42"/>
  <c r="F18" i="38"/>
  <c r="F18" i="43"/>
  <c r="H17" i="37"/>
  <c r="H17" i="36"/>
  <c r="H17" i="33"/>
  <c r="H17" i="31"/>
  <c r="H17" i="34"/>
  <c r="H17" i="35"/>
  <c r="C17" i="38"/>
  <c r="C17" i="42"/>
  <c r="C17" i="43"/>
  <c r="C17" i="44"/>
  <c r="C17" i="41"/>
  <c r="C17" i="40"/>
  <c r="D17" i="44"/>
  <c r="D17" i="41"/>
  <c r="D17" i="42"/>
  <c r="D17" i="43"/>
  <c r="D17" i="38"/>
  <c r="D17" i="40"/>
  <c r="E17" i="36"/>
  <c r="E17" i="37"/>
  <c r="E17" i="33"/>
  <c r="E17" i="31"/>
  <c r="E17" i="34"/>
  <c r="E17" i="35"/>
  <c r="D17" i="37"/>
  <c r="D17" i="31"/>
  <c r="D17" i="36"/>
  <c r="D17" i="33"/>
  <c r="D17" i="34"/>
  <c r="D17" i="35"/>
  <c r="F17" i="42"/>
  <c r="F17" i="40"/>
  <c r="F17" i="41"/>
  <c r="F17" i="38"/>
  <c r="F17" i="44"/>
  <c r="F17" i="43"/>
  <c r="C17" i="31"/>
  <c r="C17" i="36"/>
  <c r="C17" i="33"/>
  <c r="C17" i="37"/>
  <c r="C17" i="34"/>
  <c r="C17" i="35"/>
  <c r="E17" i="43"/>
  <c r="E17" i="38"/>
  <c r="E17" i="42"/>
  <c r="E17" i="41"/>
  <c r="E17" i="44"/>
  <c r="E17" i="40"/>
  <c r="F17" i="33"/>
  <c r="F17" i="31"/>
  <c r="F17" i="37"/>
  <c r="F17" i="36"/>
  <c r="F17" i="35"/>
  <c r="F17" i="34"/>
  <c r="G17" i="31"/>
  <c r="G17" i="36"/>
  <c r="G17" i="33"/>
  <c r="G17" i="37"/>
  <c r="G17" i="34"/>
  <c r="G17" i="35"/>
  <c r="G17" i="38"/>
  <c r="G17" i="43"/>
  <c r="G17" i="41"/>
  <c r="G17" i="44"/>
  <c r="G17" i="42"/>
  <c r="G17" i="40"/>
  <c r="H17" i="44"/>
  <c r="H17" i="42"/>
  <c r="H17" i="38"/>
  <c r="H17" i="43"/>
  <c r="H17" i="41"/>
  <c r="H17" i="40"/>
  <c r="C16" i="37"/>
  <c r="C16" i="31"/>
  <c r="C16" i="33"/>
  <c r="C16" i="36"/>
  <c r="C16" i="34"/>
  <c r="C16" i="35"/>
  <c r="F16" i="36"/>
  <c r="F16" i="37"/>
  <c r="F16" i="31"/>
  <c r="F16" i="33"/>
  <c r="F16" i="34"/>
  <c r="F16" i="35"/>
  <c r="D16" i="31"/>
  <c r="D16" i="33"/>
  <c r="D16" i="36"/>
  <c r="D16" i="37"/>
  <c r="D16" i="35"/>
  <c r="D16" i="34"/>
  <c r="H16" i="31"/>
  <c r="H16" i="33"/>
  <c r="H16" i="36"/>
  <c r="H16" i="37"/>
  <c r="H16" i="35"/>
  <c r="H16" i="34"/>
  <c r="G16" i="38"/>
  <c r="G16" i="44"/>
  <c r="G16" i="42"/>
  <c r="G16" i="41"/>
  <c r="G16" i="43"/>
  <c r="G16" i="40"/>
  <c r="G16" i="37"/>
  <c r="G16" i="31"/>
  <c r="G16" i="33"/>
  <c r="G16" i="36"/>
  <c r="G16" i="34"/>
  <c r="G16" i="35"/>
  <c r="C16" i="38"/>
  <c r="C16" i="41"/>
  <c r="C16" i="44"/>
  <c r="C16" i="43"/>
  <c r="C16" i="42"/>
  <c r="C16" i="40"/>
  <c r="E16" i="33"/>
  <c r="E16" i="36"/>
  <c r="E16" i="37"/>
  <c r="E16" i="31"/>
  <c r="E16" i="34"/>
  <c r="E16" i="35"/>
  <c r="D16" i="43"/>
  <c r="D16" i="38"/>
  <c r="D16" i="41"/>
  <c r="D16" i="42"/>
  <c r="D16" i="44"/>
  <c r="D16" i="40"/>
  <c r="F16" i="44"/>
  <c r="F16" i="38"/>
  <c r="F16" i="42"/>
  <c r="F16" i="40"/>
  <c r="F16" i="41"/>
  <c r="F16" i="43"/>
  <c r="E16" i="43"/>
  <c r="E16" i="42"/>
  <c r="E16" i="44"/>
  <c r="E16" i="41"/>
  <c r="E16" i="38"/>
  <c r="E16" i="40"/>
  <c r="H16" i="41"/>
  <c r="H16" i="43"/>
  <c r="H16" i="44"/>
  <c r="H16" i="38"/>
  <c r="H16" i="42"/>
  <c r="H16" i="40"/>
  <c r="C15" i="31"/>
  <c r="C15" i="33"/>
  <c r="C15" i="37"/>
  <c r="C15" i="36"/>
  <c r="C15" i="35"/>
  <c r="C15" i="34"/>
  <c r="E15" i="41"/>
  <c r="E15" i="38"/>
  <c r="E15" i="42"/>
  <c r="E15" i="44"/>
  <c r="E15" i="43"/>
  <c r="E15" i="40"/>
  <c r="H15" i="37"/>
  <c r="H15" i="33"/>
  <c r="H15" i="31"/>
  <c r="H15" i="36"/>
  <c r="H15" i="35"/>
  <c r="H15" i="34"/>
  <c r="H15" i="43"/>
  <c r="H15" i="38"/>
  <c r="H15" i="41"/>
  <c r="H15" i="44"/>
  <c r="H15" i="42"/>
  <c r="H15" i="40"/>
  <c r="G15" i="44"/>
  <c r="G15" i="42"/>
  <c r="G15" i="43"/>
  <c r="G15" i="38"/>
  <c r="G15" i="41"/>
  <c r="G15" i="40"/>
  <c r="D15" i="43"/>
  <c r="D15" i="41"/>
  <c r="D15" i="38"/>
  <c r="D15" i="42"/>
  <c r="D15" i="44"/>
  <c r="D15" i="40"/>
  <c r="C15" i="44"/>
  <c r="C15" i="43"/>
  <c r="C15" i="41"/>
  <c r="C15" i="38"/>
  <c r="C15" i="42"/>
  <c r="C15" i="40"/>
  <c r="D15" i="37"/>
  <c r="D15" i="36"/>
  <c r="D15" i="33"/>
  <c r="D15" i="31"/>
  <c r="D15" i="35"/>
  <c r="D15" i="34"/>
  <c r="G15" i="31"/>
  <c r="G15" i="37"/>
  <c r="G15" i="36"/>
  <c r="G15" i="33"/>
  <c r="G15" i="34"/>
  <c r="G15" i="35"/>
  <c r="F15" i="33"/>
  <c r="F15" i="37"/>
  <c r="F15" i="36"/>
  <c r="F15" i="31"/>
  <c r="F15" i="35"/>
  <c r="F15" i="34"/>
  <c r="E15" i="36"/>
  <c r="E15" i="31"/>
  <c r="E15" i="33"/>
  <c r="E15" i="37"/>
  <c r="E15" i="35"/>
  <c r="E15" i="34"/>
  <c r="F15" i="41"/>
  <c r="F15" i="38"/>
  <c r="F15" i="44"/>
  <c r="F15" i="42"/>
  <c r="F15" i="40"/>
  <c r="F15" i="43"/>
  <c r="E14" i="36"/>
  <c r="E14" i="31"/>
  <c r="E14" i="37"/>
  <c r="E14" i="33"/>
  <c r="E14" i="35"/>
  <c r="E14" i="34"/>
  <c r="E14" i="43"/>
  <c r="E14" i="42"/>
  <c r="E14" i="41"/>
  <c r="E14" i="44"/>
  <c r="E14" i="38"/>
  <c r="E14" i="40"/>
  <c r="H14" i="33"/>
  <c r="H14" i="31"/>
  <c r="H14" i="36"/>
  <c r="H14" i="37"/>
  <c r="H14" i="35"/>
  <c r="H14" i="34"/>
  <c r="G14" i="31"/>
  <c r="G14" i="36"/>
  <c r="G14" i="37"/>
  <c r="G14" i="33"/>
  <c r="G14" i="34"/>
  <c r="G14" i="35"/>
  <c r="F14" i="37"/>
  <c r="F14" i="36"/>
  <c r="F14" i="31"/>
  <c r="F14" i="33"/>
  <c r="F14" i="35"/>
  <c r="F14" i="34"/>
  <c r="H14" i="41"/>
  <c r="H14" i="38"/>
  <c r="H14" i="43"/>
  <c r="H14" i="44"/>
  <c r="H14" i="42"/>
  <c r="H14" i="40"/>
  <c r="C14" i="38"/>
  <c r="C14" i="43"/>
  <c r="C14" i="42"/>
  <c r="C14" i="44"/>
  <c r="C14" i="41"/>
  <c r="C14" i="40"/>
  <c r="D14" i="33"/>
  <c r="D14" i="37"/>
  <c r="D14" i="36"/>
  <c r="D14" i="31"/>
  <c r="D14" i="35"/>
  <c r="D14" i="34"/>
  <c r="C14" i="31"/>
  <c r="C14" i="33"/>
  <c r="C14" i="36"/>
  <c r="C14" i="37"/>
  <c r="C14" i="34"/>
  <c r="C14" i="35"/>
  <c r="D14" i="44"/>
  <c r="D14" i="43"/>
  <c r="D14" i="42"/>
  <c r="D14" i="41"/>
  <c r="D14" i="38"/>
  <c r="D14" i="40"/>
  <c r="G14" i="38"/>
  <c r="G14" i="43"/>
  <c r="G14" i="44"/>
  <c r="G14" i="42"/>
  <c r="G14" i="41"/>
  <c r="G14" i="40"/>
  <c r="F14" i="40"/>
  <c r="F14" i="44"/>
  <c r="F14" i="41"/>
  <c r="F14" i="42"/>
  <c r="F14" i="38"/>
  <c r="F14" i="43"/>
  <c r="E13" i="36"/>
  <c r="E13" i="33"/>
  <c r="E13" i="31"/>
  <c r="E13" i="37"/>
  <c r="E13" i="34"/>
  <c r="E13" i="35"/>
  <c r="D13" i="37"/>
  <c r="D13" i="36"/>
  <c r="D13" i="33"/>
  <c r="D13" i="31"/>
  <c r="D13" i="34"/>
  <c r="D13" i="35"/>
  <c r="G13" i="38"/>
  <c r="G13" i="44"/>
  <c r="G13" i="42"/>
  <c r="G13" i="43"/>
  <c r="G13" i="41"/>
  <c r="G13" i="40"/>
  <c r="D13" i="44"/>
  <c r="D13" i="41"/>
  <c r="D13" i="43"/>
  <c r="D13" i="38"/>
  <c r="D13" i="42"/>
  <c r="D13" i="40"/>
  <c r="F13" i="33"/>
  <c r="F13" i="31"/>
  <c r="F13" i="37"/>
  <c r="F13" i="36"/>
  <c r="F13" i="35"/>
  <c r="F13" i="34"/>
  <c r="G13" i="31"/>
  <c r="G13" i="37"/>
  <c r="G13" i="36"/>
  <c r="G13" i="33"/>
  <c r="G13" i="34"/>
  <c r="G13" i="35"/>
  <c r="F13" i="42"/>
  <c r="F13" i="40"/>
  <c r="F13" i="41"/>
  <c r="F13" i="38"/>
  <c r="F13" i="44"/>
  <c r="F13" i="43"/>
  <c r="E13" i="43"/>
  <c r="E13" i="38"/>
  <c r="E13" i="42"/>
  <c r="E13" i="44"/>
  <c r="E13" i="41"/>
  <c r="E13" i="40"/>
  <c r="H13" i="37"/>
  <c r="H13" i="36"/>
  <c r="H13" i="33"/>
  <c r="H13" i="31"/>
  <c r="H13" i="34"/>
  <c r="H13" i="35"/>
  <c r="H13" i="44"/>
  <c r="H13" i="42"/>
  <c r="H13" i="43"/>
  <c r="H13" i="41"/>
  <c r="H13" i="38"/>
  <c r="H13" i="40"/>
  <c r="C13" i="31"/>
  <c r="C13" i="37"/>
  <c r="C13" i="36"/>
  <c r="C13" i="33"/>
  <c r="C13" i="34"/>
  <c r="C13" i="35"/>
  <c r="C13" i="38"/>
  <c r="C13" i="42"/>
  <c r="C13" i="44"/>
  <c r="C13" i="41"/>
  <c r="C13" i="43"/>
  <c r="C13" i="40"/>
  <c r="C12" i="31"/>
  <c r="C12" i="37"/>
  <c r="C12" i="33"/>
  <c r="C12" i="36"/>
  <c r="C12" i="34"/>
  <c r="C12" i="35"/>
  <c r="F12" i="37"/>
  <c r="F12" i="36"/>
  <c r="F12" i="31"/>
  <c r="F12" i="33"/>
  <c r="F12" i="35"/>
  <c r="F12" i="34"/>
  <c r="E12" i="36"/>
  <c r="E12" i="31"/>
  <c r="E12" i="33"/>
  <c r="E12" i="37"/>
  <c r="E12" i="35"/>
  <c r="E12" i="34"/>
  <c r="D12" i="33"/>
  <c r="D12" i="31"/>
  <c r="D12" i="36"/>
  <c r="D12" i="37"/>
  <c r="D12" i="35"/>
  <c r="D12" i="34"/>
  <c r="D12" i="38"/>
  <c r="D12" i="43"/>
  <c r="D12" i="42"/>
  <c r="D12" i="44"/>
  <c r="D12" i="41"/>
  <c r="D12" i="40"/>
  <c r="F12" i="44"/>
  <c r="F12" i="43"/>
  <c r="F12" i="38"/>
  <c r="F12" i="42"/>
  <c r="F12" i="40"/>
  <c r="F12" i="41"/>
  <c r="C12" i="38"/>
  <c r="C12" i="41"/>
  <c r="C12" i="43"/>
  <c r="C12" i="42"/>
  <c r="C12" i="44"/>
  <c r="C12" i="40"/>
  <c r="G12" i="31"/>
  <c r="G12" i="36"/>
  <c r="G12" i="33"/>
  <c r="G12" i="37"/>
  <c r="G12" i="34"/>
  <c r="G12" i="35"/>
  <c r="E12" i="43"/>
  <c r="E12" i="42"/>
  <c r="E12" i="38"/>
  <c r="E12" i="44"/>
  <c r="E12" i="41"/>
  <c r="E12" i="40"/>
  <c r="G12" i="38"/>
  <c r="G12" i="44"/>
  <c r="G12" i="41"/>
  <c r="G12" i="43"/>
  <c r="G12" i="42"/>
  <c r="G12" i="40"/>
  <c r="D11" i="37"/>
  <c r="D11" i="33"/>
  <c r="D11" i="31"/>
  <c r="D11" i="36"/>
  <c r="D11" i="35"/>
  <c r="D11" i="34"/>
  <c r="F11" i="33"/>
  <c r="F11" i="37"/>
  <c r="F11" i="36"/>
  <c r="F11" i="31"/>
  <c r="F11" i="35"/>
  <c r="F11" i="34"/>
  <c r="C11" i="38"/>
  <c r="C11" i="42"/>
  <c r="C11" i="41"/>
  <c r="C11" i="44"/>
  <c r="C11" i="43"/>
  <c r="C11" i="40"/>
  <c r="C11" i="31"/>
  <c r="C11" i="37"/>
  <c r="C11" i="36"/>
  <c r="C11" i="33"/>
  <c r="C11" i="34"/>
  <c r="C11" i="35"/>
  <c r="H11" i="44"/>
  <c r="H11" i="42"/>
  <c r="H11" i="43"/>
  <c r="H11" i="38"/>
  <c r="H11" i="41"/>
  <c r="H11" i="40"/>
  <c r="F11" i="44"/>
  <c r="F11" i="40"/>
  <c r="F11" i="43"/>
  <c r="F11" i="41"/>
  <c r="F11" i="38"/>
  <c r="F11" i="42"/>
  <c r="H11" i="37"/>
  <c r="H11" i="36"/>
  <c r="H11" i="33"/>
  <c r="H11" i="31"/>
  <c r="H11" i="35"/>
  <c r="H11" i="34"/>
  <c r="D11" i="44"/>
  <c r="D11" i="41"/>
  <c r="D11" i="43"/>
  <c r="D11" i="38"/>
  <c r="D11" i="42"/>
  <c r="D11" i="40"/>
  <c r="G11" i="31"/>
  <c r="G11" i="37"/>
  <c r="G11" i="36"/>
  <c r="G11" i="33"/>
  <c r="G11" i="34"/>
  <c r="G11" i="35"/>
  <c r="E11" i="36"/>
  <c r="E11" i="31"/>
  <c r="E11" i="37"/>
  <c r="E11" i="33"/>
  <c r="E11" i="34"/>
  <c r="E11" i="35"/>
  <c r="E11" i="43"/>
  <c r="E11" i="38"/>
  <c r="E11" i="42"/>
  <c r="E11" i="44"/>
  <c r="E11" i="41"/>
  <c r="E11" i="40"/>
  <c r="G11" i="38"/>
  <c r="G11" i="41"/>
  <c r="G11" i="44"/>
  <c r="G11" i="42"/>
  <c r="G11" i="43"/>
  <c r="G11" i="40"/>
  <c r="C10" i="31"/>
  <c r="C10" i="37"/>
  <c r="C10" i="33"/>
  <c r="C10" i="36"/>
  <c r="C10" i="34"/>
  <c r="C10" i="35"/>
  <c r="E10" i="43"/>
  <c r="E10" i="42"/>
  <c r="E10" i="41"/>
  <c r="E10" i="38"/>
  <c r="E10" i="44"/>
  <c r="E10" i="40"/>
  <c r="G10" i="38"/>
  <c r="G10" i="41"/>
  <c r="G10" i="43"/>
  <c r="G10" i="44"/>
  <c r="G10" i="42"/>
  <c r="G10" i="40"/>
  <c r="E10" i="36"/>
  <c r="E10" i="33"/>
  <c r="E10" i="37"/>
  <c r="E10" i="31"/>
  <c r="E10" i="34"/>
  <c r="E10" i="35"/>
  <c r="H10" i="44"/>
  <c r="H10" i="42"/>
  <c r="H10" i="38"/>
  <c r="H10" i="43"/>
  <c r="H10" i="41"/>
  <c r="H10" i="40"/>
  <c r="C10" i="38"/>
  <c r="C10" i="43"/>
  <c r="C10" i="41"/>
  <c r="C10" i="44"/>
  <c r="C10" i="42"/>
  <c r="C10" i="40"/>
  <c r="D10" i="33"/>
  <c r="D10" i="37"/>
  <c r="D10" i="36"/>
  <c r="D10" i="31"/>
  <c r="D10" i="35"/>
  <c r="D10" i="34"/>
  <c r="H10" i="33"/>
  <c r="H10" i="31"/>
  <c r="H10" i="36"/>
  <c r="H10" i="37"/>
  <c r="H10" i="35"/>
  <c r="H10" i="34"/>
  <c r="G10" i="31"/>
  <c r="G10" i="33"/>
  <c r="G10" i="36"/>
  <c r="G10" i="37"/>
  <c r="G10" i="34"/>
  <c r="G10" i="35"/>
  <c r="F10" i="37"/>
  <c r="F10" i="33"/>
  <c r="F10" i="31"/>
  <c r="F10" i="36"/>
  <c r="F10" i="34"/>
  <c r="F10" i="35"/>
  <c r="D10" i="43"/>
  <c r="D10" i="42"/>
  <c r="D10" i="41"/>
  <c r="D10" i="44"/>
  <c r="D10" i="38"/>
  <c r="D10" i="40"/>
  <c r="F10" i="40"/>
  <c r="F10" i="44"/>
  <c r="F10" i="42"/>
  <c r="F10" i="38"/>
  <c r="F10" i="41"/>
  <c r="F10" i="43"/>
  <c r="E9" i="36"/>
  <c r="E9" i="33"/>
  <c r="E9" i="31"/>
  <c r="E9" i="37"/>
  <c r="E9" i="34"/>
  <c r="E9" i="35"/>
  <c r="D9" i="37"/>
  <c r="D9" i="33"/>
  <c r="D9" i="31"/>
  <c r="D9" i="36"/>
  <c r="D9" i="34"/>
  <c r="D9" i="35"/>
  <c r="C9" i="38"/>
  <c r="C9" i="42"/>
  <c r="C9" i="44"/>
  <c r="C9" i="41"/>
  <c r="C9" i="43"/>
  <c r="C9" i="40"/>
  <c r="C9" i="31"/>
  <c r="C9" i="36"/>
  <c r="C9" i="37"/>
  <c r="C9" i="33"/>
  <c r="C9" i="34"/>
  <c r="C9" i="35"/>
  <c r="F9" i="42"/>
  <c r="F9" i="44"/>
  <c r="F9" i="43"/>
  <c r="F9" i="40"/>
  <c r="F9" i="41"/>
  <c r="F9" i="38"/>
  <c r="H9" i="44"/>
  <c r="H9" i="42"/>
  <c r="H9" i="38"/>
  <c r="H9" i="43"/>
  <c r="H9" i="41"/>
  <c r="H9" i="40"/>
  <c r="F9" i="33"/>
  <c r="F9" i="31"/>
  <c r="F9" i="37"/>
  <c r="F9" i="36"/>
  <c r="F9" i="35"/>
  <c r="F9" i="34"/>
  <c r="G9" i="31"/>
  <c r="G9" i="36"/>
  <c r="G9" i="33"/>
  <c r="G9" i="37"/>
  <c r="G9" i="34"/>
  <c r="G9" i="35"/>
  <c r="E9" i="43"/>
  <c r="E9" i="44"/>
  <c r="E9" i="38"/>
  <c r="E9" i="42"/>
  <c r="E9" i="41"/>
  <c r="E9" i="40"/>
  <c r="D9" i="44"/>
  <c r="D9" i="41"/>
  <c r="D9" i="43"/>
  <c r="D9" i="38"/>
  <c r="D9" i="42"/>
  <c r="D9" i="40"/>
  <c r="H9" i="37"/>
  <c r="H9" i="36"/>
  <c r="H9" i="33"/>
  <c r="H9" i="31"/>
  <c r="H9" i="34"/>
  <c r="H9" i="35"/>
  <c r="G9" i="38"/>
  <c r="G9" i="44"/>
  <c r="G9" i="42"/>
  <c r="G9" i="43"/>
  <c r="G9" i="41"/>
  <c r="G9" i="40"/>
  <c r="G8" i="31"/>
  <c r="G8" i="33"/>
  <c r="G8" i="36"/>
  <c r="G8" i="37"/>
  <c r="G8" i="34"/>
  <c r="G8" i="35"/>
  <c r="G8" i="38"/>
  <c r="G8" i="42"/>
  <c r="G8" i="41"/>
  <c r="G8" i="44"/>
  <c r="G8" i="43"/>
  <c r="G8" i="40"/>
  <c r="E8" i="43"/>
  <c r="E8" i="41"/>
  <c r="E8" i="44"/>
  <c r="E8" i="42"/>
  <c r="E8" i="38"/>
  <c r="E8" i="40"/>
  <c r="C8" i="38"/>
  <c r="C8" i="43"/>
  <c r="C8" i="41"/>
  <c r="C8" i="44"/>
  <c r="C8" i="42"/>
  <c r="C8" i="40"/>
  <c r="H8" i="33"/>
  <c r="H8" i="36"/>
  <c r="H8" i="37"/>
  <c r="H8" i="31"/>
  <c r="H8" i="35"/>
  <c r="H8" i="34"/>
  <c r="D8" i="41"/>
  <c r="D8" i="44"/>
  <c r="D8" i="42"/>
  <c r="D8" i="43"/>
  <c r="D8" i="38"/>
  <c r="D8" i="40"/>
  <c r="C8" i="31"/>
  <c r="C8" i="36"/>
  <c r="C8" i="37"/>
  <c r="C8" i="33"/>
  <c r="C8" i="34"/>
  <c r="C8" i="35"/>
  <c r="F8" i="37"/>
  <c r="F8" i="31"/>
  <c r="F8" i="33"/>
  <c r="F8" i="36"/>
  <c r="F8" i="34"/>
  <c r="F8" i="35"/>
  <c r="E8" i="36"/>
  <c r="E8" i="31"/>
  <c r="E8" i="37"/>
  <c r="E8" i="33"/>
  <c r="E8" i="34"/>
  <c r="E8" i="35"/>
  <c r="D8" i="33"/>
  <c r="D8" i="37"/>
  <c r="D8" i="31"/>
  <c r="D8" i="36"/>
  <c r="D8" i="35"/>
  <c r="D8" i="34"/>
  <c r="H8" i="42"/>
  <c r="H8" i="43"/>
  <c r="H8" i="41"/>
  <c r="H8" i="44"/>
  <c r="H8" i="38"/>
  <c r="F7" i="33"/>
  <c r="F7" i="31"/>
  <c r="F7" i="37"/>
  <c r="F7" i="36"/>
  <c r="F7" i="35"/>
  <c r="F7" i="34"/>
  <c r="E7" i="36"/>
  <c r="E7" i="33"/>
  <c r="E7" i="31"/>
  <c r="E7" i="37"/>
  <c r="E7" i="34"/>
  <c r="E7" i="35"/>
  <c r="C7" i="38"/>
  <c r="C7" i="41"/>
  <c r="C7" i="44"/>
  <c r="C7" i="42"/>
  <c r="C7" i="43"/>
  <c r="C7" i="40"/>
  <c r="F7" i="41"/>
  <c r="F7" i="40"/>
  <c r="F7" i="43"/>
  <c r="F7" i="42"/>
  <c r="F7" i="38"/>
  <c r="F7" i="44"/>
  <c r="C7" i="31"/>
  <c r="C7" i="33"/>
  <c r="C7" i="37"/>
  <c r="C7" i="36"/>
  <c r="C7" i="34"/>
  <c r="C7" i="35"/>
  <c r="H7" i="44"/>
  <c r="H7" i="41"/>
  <c r="H7" i="42"/>
  <c r="H7" i="38"/>
  <c r="H7" i="43"/>
  <c r="H7" i="40"/>
  <c r="E7" i="43"/>
  <c r="E7" i="41"/>
  <c r="E7" i="44"/>
  <c r="E7" i="42"/>
  <c r="E7" i="38"/>
  <c r="E7" i="40"/>
  <c r="D7" i="37"/>
  <c r="D7" i="33"/>
  <c r="D7" i="31"/>
  <c r="D7" i="36"/>
  <c r="D7" i="35"/>
  <c r="D7" i="34"/>
  <c r="G7" i="31"/>
  <c r="G7" i="33"/>
  <c r="G7" i="37"/>
  <c r="G7" i="36"/>
  <c r="G7" i="34"/>
  <c r="G7" i="35"/>
  <c r="H7" i="37"/>
  <c r="H7" i="36"/>
  <c r="H7" i="33"/>
  <c r="H7" i="31"/>
  <c r="H7" i="35"/>
  <c r="H7" i="34"/>
  <c r="D7" i="44"/>
  <c r="D7" i="42"/>
  <c r="D7" i="43"/>
  <c r="D7" i="38"/>
  <c r="D7" i="41"/>
  <c r="D7" i="40"/>
  <c r="G7" i="38"/>
  <c r="G7" i="43"/>
  <c r="G7" i="44"/>
  <c r="G7" i="41"/>
  <c r="G7" i="42"/>
  <c r="G7" i="40"/>
  <c r="D6" i="33"/>
  <c r="D6" i="36"/>
  <c r="D6" i="37"/>
  <c r="D6" i="31"/>
  <c r="D6" i="35"/>
  <c r="D6" i="34"/>
  <c r="C6" i="31"/>
  <c r="C6" i="36"/>
  <c r="C6" i="37"/>
  <c r="C6" i="33"/>
  <c r="C6" i="34"/>
  <c r="C6" i="35"/>
  <c r="E6" i="43"/>
  <c r="E6" i="44"/>
  <c r="E6" i="42"/>
  <c r="E6" i="41"/>
  <c r="E6" i="38"/>
  <c r="E6" i="40"/>
  <c r="C6" i="38"/>
  <c r="C6" i="43"/>
  <c r="C6" i="41"/>
  <c r="C6" i="44"/>
  <c r="C6" i="42"/>
  <c r="C6" i="40"/>
  <c r="H6" i="42"/>
  <c r="H6" i="41"/>
  <c r="H6" i="43"/>
  <c r="H6" i="44"/>
  <c r="H6" i="38"/>
  <c r="H6" i="40"/>
  <c r="E6" i="36"/>
  <c r="E6" i="37"/>
  <c r="E6" i="31"/>
  <c r="E6" i="33"/>
  <c r="E6" i="34"/>
  <c r="E6" i="35"/>
  <c r="D6" i="44"/>
  <c r="D6" i="42"/>
  <c r="D6" i="43"/>
  <c r="D6" i="41"/>
  <c r="D6" i="38"/>
  <c r="D6" i="40"/>
  <c r="H6" i="33"/>
  <c r="H6" i="37"/>
  <c r="H6" i="31"/>
  <c r="H6" i="36"/>
  <c r="H6" i="35"/>
  <c r="H6" i="34"/>
  <c r="G6" i="31"/>
  <c r="G6" i="33"/>
  <c r="G6" i="36"/>
  <c r="G6" i="37"/>
  <c r="G6" i="34"/>
  <c r="G6" i="35"/>
  <c r="F6" i="37"/>
  <c r="F6" i="36"/>
  <c r="F6" i="31"/>
  <c r="F6" i="33"/>
  <c r="F6" i="35"/>
  <c r="F6" i="34"/>
  <c r="F6" i="40"/>
  <c r="F6" i="44"/>
  <c r="F6" i="42"/>
  <c r="F6" i="41"/>
  <c r="F6" i="38"/>
  <c r="F6" i="43"/>
  <c r="G6" i="38"/>
  <c r="G6" i="42"/>
  <c r="G6" i="41"/>
  <c r="G6" i="44"/>
  <c r="G6" i="43"/>
  <c r="G6" i="40"/>
  <c r="E5" i="36"/>
  <c r="E5" i="31"/>
  <c r="E5" i="33"/>
  <c r="E5" i="37"/>
  <c r="E5" i="34"/>
  <c r="E5" i="35"/>
  <c r="D5" i="37"/>
  <c r="D5" i="36"/>
  <c r="D5" i="33"/>
  <c r="D5" i="31"/>
  <c r="D5" i="34"/>
  <c r="D5" i="35"/>
  <c r="C5" i="31"/>
  <c r="C5" i="33"/>
  <c r="C5" i="37"/>
  <c r="C5" i="36"/>
  <c r="C5" i="34"/>
  <c r="C5" i="35"/>
  <c r="E5" i="43"/>
  <c r="E5" i="41"/>
  <c r="E5" i="38"/>
  <c r="E5" i="44"/>
  <c r="E5" i="42"/>
  <c r="E5" i="40"/>
  <c r="G5" i="38"/>
  <c r="G5" i="43"/>
  <c r="G5" i="42"/>
  <c r="G5" i="41"/>
  <c r="G5" i="44"/>
  <c r="G5" i="40"/>
  <c r="F5" i="33"/>
  <c r="F5" i="37"/>
  <c r="F5" i="31"/>
  <c r="F5" i="36"/>
  <c r="F5" i="35"/>
  <c r="F5" i="34"/>
  <c r="H5" i="44"/>
  <c r="H5" i="41"/>
  <c r="H5" i="38"/>
  <c r="H5" i="43"/>
  <c r="H5" i="42"/>
  <c r="H5" i="40"/>
  <c r="C5" i="38"/>
  <c r="C5" i="43"/>
  <c r="C5" i="44"/>
  <c r="C5" i="42"/>
  <c r="C5" i="41"/>
  <c r="C5" i="40"/>
  <c r="H5" i="37"/>
  <c r="H5" i="33"/>
  <c r="H5" i="31"/>
  <c r="H5" i="36"/>
  <c r="H5" i="34"/>
  <c r="H5" i="35"/>
  <c r="G5" i="31"/>
  <c r="G5" i="37"/>
  <c r="G5" i="36"/>
  <c r="G5" i="33"/>
  <c r="G5" i="34"/>
  <c r="G5" i="35"/>
  <c r="D5" i="44"/>
  <c r="D5" i="42"/>
  <c r="D5" i="43"/>
  <c r="D5" i="41"/>
  <c r="D5" i="38"/>
  <c r="D5" i="40"/>
  <c r="F5" i="40"/>
  <c r="F5" i="41"/>
  <c r="F5" i="38"/>
  <c r="F5" i="42"/>
  <c r="F5" i="44"/>
  <c r="F5" i="43"/>
  <c r="D4" i="38"/>
  <c r="D4" i="44"/>
  <c r="D4" i="43"/>
  <c r="D4" i="41"/>
  <c r="D4" i="42"/>
  <c r="D4" i="40"/>
  <c r="F4" i="33"/>
  <c r="F4" i="37"/>
  <c r="F4" i="36"/>
  <c r="F4" i="31"/>
  <c r="F4" i="34"/>
  <c r="F4" i="35"/>
  <c r="E4" i="36"/>
  <c r="E4" i="31"/>
  <c r="E4" i="37"/>
  <c r="E4" i="33"/>
  <c r="E4" i="35"/>
  <c r="E4" i="34"/>
  <c r="D4" i="37"/>
  <c r="D4" i="36"/>
  <c r="D4" i="33"/>
  <c r="D4" i="31"/>
  <c r="D4" i="35"/>
  <c r="D4" i="34"/>
  <c r="F4" i="41"/>
  <c r="F4" i="38"/>
  <c r="F4" i="44"/>
  <c r="F4" i="43"/>
  <c r="F4" i="42"/>
  <c r="F4" i="40"/>
  <c r="C4" i="33"/>
  <c r="C4" i="31"/>
  <c r="C4" i="37"/>
  <c r="C4" i="36"/>
  <c r="C4" i="34"/>
  <c r="C4" i="35"/>
  <c r="C4" i="42"/>
  <c r="C4" i="41"/>
  <c r="C4" i="44"/>
  <c r="C4" i="38"/>
  <c r="C4" i="43"/>
  <c r="C4" i="40"/>
  <c r="E4" i="41"/>
  <c r="E4" i="42"/>
  <c r="E4" i="38"/>
  <c r="E4" i="44"/>
  <c r="E4" i="43"/>
  <c r="E4" i="40"/>
  <c r="AE24" i="28"/>
  <c r="C5" i="45"/>
  <c r="AF24" i="28"/>
  <c r="D7" i="45" s="1"/>
  <c r="C7" i="45"/>
  <c r="AH24" i="28"/>
  <c r="C9" i="45"/>
  <c r="C6" i="45"/>
  <c r="AG24" i="28"/>
  <c r="D8" i="45" s="1"/>
  <c r="C8" i="45"/>
  <c r="W50" i="28"/>
  <c r="E25" i="80" s="1"/>
  <c r="V50" i="28"/>
  <c r="D25" i="80" s="1"/>
  <c r="Y50" i="28"/>
  <c r="G25" i="80" s="1"/>
  <c r="X50" i="28"/>
  <c r="F25" i="80" s="1"/>
  <c r="C5" i="50" l="1"/>
  <c r="C13" i="45"/>
  <c r="C12" i="45"/>
  <c r="D10" i="45"/>
  <c r="D5" i="45"/>
  <c r="C10" i="51"/>
  <c r="H25" i="80"/>
  <c r="C12" i="50"/>
  <c r="F13" i="45"/>
  <c r="F12" i="45"/>
  <c r="C25" i="79"/>
  <c r="G25" i="36"/>
  <c r="G25" i="31"/>
  <c r="G25" i="37"/>
  <c r="G25" i="33"/>
  <c r="G25" i="35"/>
  <c r="G25" i="34"/>
  <c r="D25" i="33"/>
  <c r="D25" i="36"/>
  <c r="D25" i="31"/>
  <c r="D25" i="37"/>
  <c r="D25" i="34"/>
  <c r="D25" i="35"/>
  <c r="F25" i="31"/>
  <c r="F25" i="37"/>
  <c r="F25" i="36"/>
  <c r="F25" i="33"/>
  <c r="F25" i="34"/>
  <c r="F25" i="35"/>
  <c r="E25" i="33"/>
  <c r="E25" i="31"/>
  <c r="E25" i="37"/>
  <c r="K18" i="37" s="1"/>
  <c r="E25" i="36"/>
  <c r="E25" i="34"/>
  <c r="E25" i="35"/>
  <c r="C25" i="36"/>
  <c r="C25" i="31"/>
  <c r="C25" i="33"/>
  <c r="C25" i="37"/>
  <c r="C25" i="35"/>
  <c r="C25" i="34"/>
  <c r="H25" i="33"/>
  <c r="H25" i="37"/>
  <c r="H25" i="31"/>
  <c r="H25" i="36"/>
  <c r="H25" i="34"/>
  <c r="H25" i="35"/>
  <c r="O50" i="28"/>
  <c r="F25" i="79" s="1"/>
  <c r="N50" i="28"/>
  <c r="C5" i="51"/>
  <c r="E6" i="45"/>
  <c r="E10" i="45"/>
  <c r="D6" i="45"/>
  <c r="E8" i="45"/>
  <c r="C8" i="51"/>
  <c r="E7" i="45"/>
  <c r="C7" i="51"/>
  <c r="E9" i="45"/>
  <c r="C9" i="51"/>
  <c r="P50" i="28"/>
  <c r="G25" i="79" s="1"/>
  <c r="D9" i="45"/>
  <c r="E5" i="45"/>
  <c r="C6" i="51"/>
  <c r="M50" i="28"/>
  <c r="D25" i="79" s="1"/>
  <c r="AE42" i="28" l="1"/>
  <c r="D6" i="51"/>
  <c r="J6" i="61"/>
  <c r="J6" i="72"/>
  <c r="K18" i="35"/>
  <c r="J9" i="61"/>
  <c r="J9" i="72"/>
  <c r="D5" i="51"/>
  <c r="D13" i="51"/>
  <c r="D11" i="51"/>
  <c r="D7" i="51"/>
  <c r="K4" i="34"/>
  <c r="J10" i="61"/>
  <c r="J10" i="72"/>
  <c r="J8" i="61"/>
  <c r="J8" i="72"/>
  <c r="D9" i="51"/>
  <c r="J7" i="61"/>
  <c r="J7" i="72"/>
  <c r="D10" i="51"/>
  <c r="D8" i="51"/>
  <c r="J5" i="61"/>
  <c r="J5" i="72"/>
  <c r="D12" i="51"/>
  <c r="K20" i="35"/>
  <c r="K23" i="35"/>
  <c r="F7" i="45"/>
  <c r="E25" i="79"/>
  <c r="K14" i="35"/>
  <c r="K9" i="35"/>
  <c r="K5" i="35"/>
  <c r="K25" i="34"/>
  <c r="K25" i="33"/>
  <c r="K25" i="37"/>
  <c r="K25" i="36"/>
  <c r="K25" i="35"/>
  <c r="K25" i="31"/>
  <c r="K15" i="34"/>
  <c r="K24" i="34"/>
  <c r="K18" i="34"/>
  <c r="K21" i="34"/>
  <c r="K10" i="34"/>
  <c r="K19" i="35"/>
  <c r="K22" i="34"/>
  <c r="K14" i="34"/>
  <c r="K7" i="34"/>
  <c r="K8" i="34"/>
  <c r="K13" i="34"/>
  <c r="K5" i="34"/>
  <c r="K16" i="34"/>
  <c r="K19" i="34"/>
  <c r="K11" i="34"/>
  <c r="K12" i="34"/>
  <c r="K9" i="34"/>
  <c r="K6" i="34"/>
  <c r="K23" i="34"/>
  <c r="K20" i="34"/>
  <c r="K17" i="34"/>
  <c r="K6" i="35"/>
  <c r="K7" i="35"/>
  <c r="K4" i="35"/>
  <c r="K14" i="37"/>
  <c r="K4" i="37"/>
  <c r="F6" i="45"/>
  <c r="K13" i="37"/>
  <c r="K6" i="33"/>
  <c r="K4" i="33"/>
  <c r="K9" i="33"/>
  <c r="K10" i="33"/>
  <c r="K8" i="33"/>
  <c r="K15" i="37"/>
  <c r="K10" i="31"/>
  <c r="K7" i="33"/>
  <c r="K12" i="33"/>
  <c r="K8" i="31"/>
  <c r="K11" i="33"/>
  <c r="K5" i="33"/>
  <c r="K10" i="35"/>
  <c r="K12" i="35"/>
  <c r="K13" i="35"/>
  <c r="K22" i="35"/>
  <c r="K16" i="35"/>
  <c r="K17" i="35"/>
  <c r="K15" i="35"/>
  <c r="K11" i="35"/>
  <c r="K24" i="35"/>
  <c r="K21" i="35"/>
  <c r="K23" i="36"/>
  <c r="K24" i="37"/>
  <c r="K7" i="31"/>
  <c r="K16" i="36"/>
  <c r="K21" i="36"/>
  <c r="K6" i="31"/>
  <c r="K8" i="35"/>
  <c r="K12" i="36"/>
  <c r="K7" i="36"/>
  <c r="K9" i="36"/>
  <c r="K6" i="36"/>
  <c r="K14" i="33"/>
  <c r="K24" i="36"/>
  <c r="K17" i="36"/>
  <c r="K5" i="36"/>
  <c r="K14" i="36"/>
  <c r="K15" i="36"/>
  <c r="K18" i="36"/>
  <c r="K5" i="31"/>
  <c r="K23" i="31"/>
  <c r="K20" i="36"/>
  <c r="K11" i="36"/>
  <c r="K10" i="36"/>
  <c r="K21" i="33"/>
  <c r="K8" i="36"/>
  <c r="K4" i="36"/>
  <c r="K13" i="36"/>
  <c r="K22" i="36"/>
  <c r="K19" i="36"/>
  <c r="K21" i="37"/>
  <c r="K22" i="37"/>
  <c r="K21" i="31"/>
  <c r="K12" i="31"/>
  <c r="K11" i="31"/>
  <c r="K17" i="33"/>
  <c r="K24" i="33"/>
  <c r="E25" i="38"/>
  <c r="E25" i="44"/>
  <c r="E25" i="43"/>
  <c r="E25" i="41"/>
  <c r="C7" i="50"/>
  <c r="E25" i="42"/>
  <c r="E25" i="40"/>
  <c r="C8" i="50"/>
  <c r="F25" i="41"/>
  <c r="F25" i="44"/>
  <c r="F25" i="40"/>
  <c r="F25" i="38"/>
  <c r="F25" i="43"/>
  <c r="K5" i="37"/>
  <c r="K16" i="37"/>
  <c r="K10" i="37"/>
  <c r="K11" i="37"/>
  <c r="K6" i="37"/>
  <c r="K14" i="31"/>
  <c r="K20" i="31"/>
  <c r="K22" i="31"/>
  <c r="K24" i="31"/>
  <c r="K19" i="31"/>
  <c r="K22" i="33"/>
  <c r="K20" i="33"/>
  <c r="K18" i="33"/>
  <c r="D25" i="38"/>
  <c r="D25" i="44"/>
  <c r="D25" i="43"/>
  <c r="D25" i="41"/>
  <c r="C6" i="50"/>
  <c r="D25" i="42"/>
  <c r="D25" i="40"/>
  <c r="G25" i="42"/>
  <c r="G25" i="38"/>
  <c r="G25" i="44"/>
  <c r="G25" i="43"/>
  <c r="C9" i="50"/>
  <c r="G25" i="41"/>
  <c r="G25" i="40"/>
  <c r="H25" i="42"/>
  <c r="H25" i="38"/>
  <c r="H25" i="44"/>
  <c r="H25" i="43"/>
  <c r="C10" i="50"/>
  <c r="H25" i="41"/>
  <c r="H25" i="40"/>
  <c r="K12" i="37"/>
  <c r="K9" i="37"/>
  <c r="K19" i="37"/>
  <c r="K16" i="31"/>
  <c r="K13" i="31"/>
  <c r="K23" i="33"/>
  <c r="K13" i="33"/>
  <c r="C25" i="41"/>
  <c r="C25" i="42"/>
  <c r="C25" i="40"/>
  <c r="C25" i="38"/>
  <c r="O25" i="38" s="1"/>
  <c r="C25" i="44"/>
  <c r="C25" i="43"/>
  <c r="K20" i="37"/>
  <c r="K8" i="37"/>
  <c r="K17" i="37"/>
  <c r="K7" i="37"/>
  <c r="K23" i="37"/>
  <c r="K4" i="31"/>
  <c r="K9" i="31"/>
  <c r="K17" i="31"/>
  <c r="K18" i="31"/>
  <c r="K15" i="31"/>
  <c r="K19" i="33"/>
  <c r="K15" i="33"/>
  <c r="K16" i="33"/>
  <c r="F25" i="42"/>
  <c r="F8" i="45"/>
  <c r="F9" i="45"/>
  <c r="F5" i="45"/>
  <c r="F10" i="45"/>
  <c r="K5" i="72" l="1"/>
  <c r="L5" i="72"/>
  <c r="L7" i="72"/>
  <c r="K7" i="72"/>
  <c r="L9" i="72"/>
  <c r="K9" i="72"/>
  <c r="D12" i="50"/>
  <c r="L8" i="72"/>
  <c r="K8" i="72"/>
  <c r="L6" i="72"/>
  <c r="K6" i="72"/>
  <c r="D7" i="50"/>
  <c r="K10" i="72"/>
  <c r="L10" i="72"/>
  <c r="D9" i="50"/>
  <c r="L10" i="61"/>
  <c r="K10" i="61"/>
  <c r="L5" i="61"/>
  <c r="K5" i="61"/>
  <c r="B20" i="51"/>
  <c r="C22" i="51"/>
  <c r="B19" i="51"/>
  <c r="B18" i="51"/>
  <c r="B21" i="51"/>
  <c r="C25" i="51"/>
  <c r="C24" i="51"/>
  <c r="C23" i="51"/>
  <c r="B25" i="51"/>
  <c r="C21" i="51"/>
  <c r="B22" i="51"/>
  <c r="C18" i="51"/>
  <c r="B24" i="51"/>
  <c r="C20" i="51"/>
  <c r="B23" i="51"/>
  <c r="C19" i="51"/>
  <c r="L7" i="61"/>
  <c r="K7" i="61"/>
  <c r="L9" i="61"/>
  <c r="K9" i="61"/>
  <c r="D10" i="50"/>
  <c r="D8" i="50"/>
  <c r="D6" i="50"/>
  <c r="D5" i="50"/>
  <c r="D13" i="50"/>
  <c r="D11" i="50"/>
  <c r="L8" i="61"/>
  <c r="K8" i="61"/>
  <c r="L6" i="61"/>
  <c r="K6" i="61"/>
  <c r="M4" i="35"/>
  <c r="M24" i="35"/>
  <c r="M22" i="35"/>
  <c r="M20" i="35"/>
  <c r="M18" i="35"/>
  <c r="M16" i="35"/>
  <c r="M14" i="35"/>
  <c r="M12" i="35"/>
  <c r="M10" i="35"/>
  <c r="M8" i="35"/>
  <c r="M6" i="35"/>
  <c r="L4" i="35"/>
  <c r="L24" i="35"/>
  <c r="L22" i="35"/>
  <c r="L20" i="35"/>
  <c r="L18" i="35"/>
  <c r="L16" i="35"/>
  <c r="L14" i="35"/>
  <c r="L12" i="35"/>
  <c r="L10" i="35"/>
  <c r="L8" i="35"/>
  <c r="L6" i="35"/>
  <c r="M25" i="35"/>
  <c r="M23" i="35"/>
  <c r="M21" i="35"/>
  <c r="M19" i="35"/>
  <c r="M17" i="35"/>
  <c r="M15" i="35"/>
  <c r="M13" i="35"/>
  <c r="M11" i="35"/>
  <c r="M9" i="35"/>
  <c r="M7" i="35"/>
  <c r="M5" i="35"/>
  <c r="L25" i="35"/>
  <c r="L23" i="35"/>
  <c r="L21" i="35"/>
  <c r="L19" i="35"/>
  <c r="L17" i="35"/>
  <c r="L15" i="35"/>
  <c r="L13" i="35"/>
  <c r="L11" i="35"/>
  <c r="L9" i="35"/>
  <c r="L7" i="35"/>
  <c r="L5" i="35"/>
  <c r="L4" i="34"/>
  <c r="M24" i="34"/>
  <c r="M22" i="34"/>
  <c r="M20" i="34"/>
  <c r="M18" i="34"/>
  <c r="M16" i="34"/>
  <c r="M14" i="34"/>
  <c r="M12" i="34"/>
  <c r="M10" i="34"/>
  <c r="M8" i="34"/>
  <c r="M6" i="34"/>
  <c r="M4" i="34"/>
  <c r="L24" i="34"/>
  <c r="L22" i="34"/>
  <c r="L20" i="34"/>
  <c r="L18" i="34"/>
  <c r="L16" i="34"/>
  <c r="L14" i="34"/>
  <c r="L12" i="34"/>
  <c r="L10" i="34"/>
  <c r="L8" i="34"/>
  <c r="L6" i="34"/>
  <c r="M25" i="34"/>
  <c r="M23" i="34"/>
  <c r="M21" i="34"/>
  <c r="M19" i="34"/>
  <c r="M17" i="34"/>
  <c r="M15" i="34"/>
  <c r="M13" i="34"/>
  <c r="M11" i="34"/>
  <c r="M9" i="34"/>
  <c r="M7" i="34"/>
  <c r="M5" i="34"/>
  <c r="L25" i="34"/>
  <c r="L23" i="34"/>
  <c r="L21" i="34"/>
  <c r="L19" i="34"/>
  <c r="L17" i="34"/>
  <c r="L15" i="34"/>
  <c r="L13" i="34"/>
  <c r="L11" i="34"/>
  <c r="L9" i="34"/>
  <c r="L7" i="34"/>
  <c r="L5" i="34"/>
  <c r="M25" i="33"/>
  <c r="M23" i="33"/>
  <c r="M21" i="33"/>
  <c r="M19" i="33"/>
  <c r="M17" i="33"/>
  <c r="M15" i="33"/>
  <c r="M13" i="33"/>
  <c r="M11" i="33"/>
  <c r="M9" i="33"/>
  <c r="M7" i="33"/>
  <c r="M5" i="33"/>
  <c r="L25" i="33"/>
  <c r="L23" i="33"/>
  <c r="L21" i="33"/>
  <c r="L19" i="33"/>
  <c r="L17" i="33"/>
  <c r="L15" i="33"/>
  <c r="L13" i="33"/>
  <c r="L11" i="33"/>
  <c r="L9" i="33"/>
  <c r="L7" i="33"/>
  <c r="L5" i="33"/>
  <c r="L4" i="33"/>
  <c r="M24" i="33"/>
  <c r="M22" i="33"/>
  <c r="M20" i="33"/>
  <c r="M18" i="33"/>
  <c r="M16" i="33"/>
  <c r="M14" i="33"/>
  <c r="M12" i="33"/>
  <c r="M10" i="33"/>
  <c r="M8" i="33"/>
  <c r="M6" i="33"/>
  <c r="M4" i="33"/>
  <c r="L24" i="33"/>
  <c r="L22" i="33"/>
  <c r="L20" i="33"/>
  <c r="L18" i="33"/>
  <c r="L16" i="33"/>
  <c r="L14" i="33"/>
  <c r="L12" i="33"/>
  <c r="L10" i="33"/>
  <c r="L8" i="33"/>
  <c r="L6" i="33"/>
  <c r="K5" i="38"/>
  <c r="K6" i="38"/>
  <c r="K4" i="38"/>
  <c r="M24" i="37"/>
  <c r="M22" i="37"/>
  <c r="M20" i="37"/>
  <c r="M18" i="37"/>
  <c r="M16" i="37"/>
  <c r="M14" i="37"/>
  <c r="M12" i="37"/>
  <c r="M10" i="37"/>
  <c r="M8" i="37"/>
  <c r="M6" i="37"/>
  <c r="M4" i="37"/>
  <c r="L24" i="37"/>
  <c r="L22" i="37"/>
  <c r="L20" i="37"/>
  <c r="L18" i="37"/>
  <c r="L16" i="37"/>
  <c r="L14" i="37"/>
  <c r="L12" i="37"/>
  <c r="L10" i="37"/>
  <c r="L8" i="37"/>
  <c r="L6" i="37"/>
  <c r="L4" i="37"/>
  <c r="M25" i="37"/>
  <c r="M23" i="37"/>
  <c r="M21" i="37"/>
  <c r="M19" i="37"/>
  <c r="M17" i="37"/>
  <c r="M15" i="37"/>
  <c r="M13" i="37"/>
  <c r="M11" i="37"/>
  <c r="M9" i="37"/>
  <c r="M7" i="37"/>
  <c r="M5" i="37"/>
  <c r="L25" i="37"/>
  <c r="L23" i="37"/>
  <c r="L21" i="37"/>
  <c r="L19" i="37"/>
  <c r="L17" i="37"/>
  <c r="L15" i="37"/>
  <c r="L13" i="37"/>
  <c r="L11" i="37"/>
  <c r="L9" i="37"/>
  <c r="L7" i="37"/>
  <c r="L5" i="37"/>
  <c r="M24" i="31"/>
  <c r="M22" i="31"/>
  <c r="M20" i="31"/>
  <c r="M18" i="31"/>
  <c r="M16" i="31"/>
  <c r="M14" i="31"/>
  <c r="M12" i="31"/>
  <c r="M10" i="31"/>
  <c r="M8" i="31"/>
  <c r="M6" i="31"/>
  <c r="M4" i="31"/>
  <c r="L24" i="31"/>
  <c r="L22" i="31"/>
  <c r="L20" i="31"/>
  <c r="L18" i="31"/>
  <c r="L16" i="31"/>
  <c r="L14" i="31"/>
  <c r="L12" i="31"/>
  <c r="L10" i="31"/>
  <c r="L8" i="31"/>
  <c r="L6" i="31"/>
  <c r="L4" i="31"/>
  <c r="M25" i="31"/>
  <c r="M23" i="31"/>
  <c r="M21" i="31"/>
  <c r="M19" i="31"/>
  <c r="M17" i="31"/>
  <c r="M15" i="31"/>
  <c r="M13" i="31"/>
  <c r="M11" i="31"/>
  <c r="M9" i="31"/>
  <c r="M7" i="31"/>
  <c r="M5" i="31"/>
  <c r="L25" i="31"/>
  <c r="L23" i="31"/>
  <c r="L21" i="31"/>
  <c r="L19" i="31"/>
  <c r="L17" i="31"/>
  <c r="L15" i="31"/>
  <c r="L13" i="31"/>
  <c r="L11" i="31"/>
  <c r="L9" i="31"/>
  <c r="L7" i="31"/>
  <c r="L5" i="31"/>
  <c r="K6" i="44"/>
  <c r="K4" i="44"/>
  <c r="K5" i="44"/>
  <c r="M24" i="36"/>
  <c r="M22" i="36"/>
  <c r="M20" i="36"/>
  <c r="M18" i="36"/>
  <c r="M16" i="36"/>
  <c r="M14" i="36"/>
  <c r="M12" i="36"/>
  <c r="M10" i="36"/>
  <c r="M8" i="36"/>
  <c r="M6" i="36"/>
  <c r="M4" i="36"/>
  <c r="L24" i="36"/>
  <c r="L22" i="36"/>
  <c r="L20" i="36"/>
  <c r="L18" i="36"/>
  <c r="L16" i="36"/>
  <c r="L14" i="36"/>
  <c r="L12" i="36"/>
  <c r="L10" i="36"/>
  <c r="L8" i="36"/>
  <c r="L6" i="36"/>
  <c r="L4" i="36"/>
  <c r="M25" i="36"/>
  <c r="M23" i="36"/>
  <c r="M21" i="36"/>
  <c r="M19" i="36"/>
  <c r="M17" i="36"/>
  <c r="M15" i="36"/>
  <c r="M13" i="36"/>
  <c r="M11" i="36"/>
  <c r="M9" i="36"/>
  <c r="M7" i="36"/>
  <c r="M5" i="36"/>
  <c r="L25" i="36"/>
  <c r="L23" i="36"/>
  <c r="L21" i="36"/>
  <c r="L19" i="36"/>
  <c r="L17" i="36"/>
  <c r="L15" i="36"/>
  <c r="L13" i="36"/>
  <c r="L11" i="36"/>
  <c r="L9" i="36"/>
  <c r="L7" i="36"/>
  <c r="L5" i="36"/>
  <c r="K25" i="40"/>
  <c r="K9" i="40"/>
  <c r="K16" i="40"/>
  <c r="K23" i="40"/>
  <c r="K7" i="40"/>
  <c r="K10" i="40"/>
  <c r="K12" i="40"/>
  <c r="K19" i="40"/>
  <c r="K22" i="40"/>
  <c r="K21" i="40"/>
  <c r="K5" i="40"/>
  <c r="K6" i="40"/>
  <c r="K17" i="40"/>
  <c r="K24" i="40"/>
  <c r="K8" i="40"/>
  <c r="K15" i="40"/>
  <c r="K18" i="40"/>
  <c r="K13" i="40"/>
  <c r="K20" i="40"/>
  <c r="K4" i="40"/>
  <c r="K11" i="40"/>
  <c r="K14" i="40"/>
  <c r="K25" i="41"/>
  <c r="K11" i="41"/>
  <c r="K14" i="41"/>
  <c r="K17" i="41"/>
  <c r="K24" i="41"/>
  <c r="K8" i="41"/>
  <c r="K18" i="41"/>
  <c r="K5" i="41"/>
  <c r="K23" i="41"/>
  <c r="K7" i="41"/>
  <c r="K10" i="41"/>
  <c r="K13" i="41"/>
  <c r="K20" i="41"/>
  <c r="K4" i="41"/>
  <c r="K9" i="41"/>
  <c r="K16" i="41"/>
  <c r="K15" i="41"/>
  <c r="K21" i="41"/>
  <c r="K12" i="41"/>
  <c r="K19" i="41"/>
  <c r="K22" i="41"/>
  <c r="K6" i="41"/>
  <c r="K25" i="43"/>
  <c r="K15" i="43"/>
  <c r="K18" i="43"/>
  <c r="K21" i="43"/>
  <c r="K5" i="43"/>
  <c r="K12" i="43"/>
  <c r="K11" i="43"/>
  <c r="K14" i="43"/>
  <c r="K17" i="43"/>
  <c r="K24" i="43"/>
  <c r="K8" i="43"/>
  <c r="K23" i="43"/>
  <c r="K7" i="43"/>
  <c r="K10" i="43"/>
  <c r="K13" i="43"/>
  <c r="K20" i="43"/>
  <c r="K4" i="43"/>
  <c r="K19" i="43"/>
  <c r="K22" i="43"/>
  <c r="K6" i="43"/>
  <c r="K9" i="43"/>
  <c r="K16" i="43"/>
  <c r="K25" i="44"/>
  <c r="K21" i="44"/>
  <c r="K12" i="44"/>
  <c r="K19" i="44"/>
  <c r="K22" i="44"/>
  <c r="K17" i="44"/>
  <c r="K24" i="44"/>
  <c r="K8" i="44"/>
  <c r="K15" i="44"/>
  <c r="K18" i="44"/>
  <c r="K13" i="44"/>
  <c r="K20" i="44"/>
  <c r="K11" i="44"/>
  <c r="K14" i="44"/>
  <c r="K9" i="44"/>
  <c r="K16" i="44"/>
  <c r="K23" i="44"/>
  <c r="K7" i="44"/>
  <c r="K10" i="44"/>
  <c r="K25" i="42"/>
  <c r="K21" i="42"/>
  <c r="K5" i="42"/>
  <c r="K12" i="42"/>
  <c r="K19" i="42"/>
  <c r="K22" i="42"/>
  <c r="K6" i="42"/>
  <c r="K17" i="42"/>
  <c r="K24" i="42"/>
  <c r="K8" i="42"/>
  <c r="K15" i="42"/>
  <c r="K18" i="42"/>
  <c r="K13" i="42"/>
  <c r="K20" i="42"/>
  <c r="K4" i="42"/>
  <c r="K11" i="42"/>
  <c r="K14" i="42"/>
  <c r="K9" i="42"/>
  <c r="K16" i="42"/>
  <c r="K23" i="42"/>
  <c r="K7" i="42"/>
  <c r="K10" i="42"/>
  <c r="K25" i="38"/>
  <c r="K11" i="38"/>
  <c r="K10" i="38"/>
  <c r="K17" i="38"/>
  <c r="K20" i="38"/>
  <c r="K23" i="38"/>
  <c r="K22" i="38"/>
  <c r="K9" i="38"/>
  <c r="K16" i="38"/>
  <c r="K7" i="38"/>
  <c r="K19" i="38"/>
  <c r="K18" i="38"/>
  <c r="K13" i="38"/>
  <c r="K12" i="38"/>
  <c r="K15" i="38"/>
  <c r="K14" i="38"/>
  <c r="K21" i="38"/>
  <c r="K24" i="38"/>
  <c r="K8" i="38"/>
  <c r="C22" i="50" l="1"/>
  <c r="C23" i="50"/>
  <c r="C21" i="50"/>
  <c r="C20" i="50"/>
  <c r="C19" i="50"/>
  <c r="B24" i="50"/>
  <c r="B19" i="50"/>
  <c r="B26" i="50"/>
  <c r="B25" i="50"/>
  <c r="B23" i="50"/>
  <c r="C26" i="50"/>
  <c r="B22" i="50"/>
  <c r="C25" i="50"/>
  <c r="B21" i="50"/>
  <c r="C24" i="50"/>
  <c r="B20" i="50"/>
  <c r="M13" i="38"/>
  <c r="M15" i="38"/>
  <c r="M24" i="42"/>
  <c r="M20" i="42"/>
  <c r="M16" i="42"/>
  <c r="M12" i="42"/>
  <c r="M8" i="42"/>
  <c r="M4" i="42"/>
  <c r="L22" i="42"/>
  <c r="L18" i="42"/>
  <c r="L14" i="42"/>
  <c r="L10" i="42"/>
  <c r="L6" i="42"/>
  <c r="M23" i="42"/>
  <c r="M19" i="42"/>
  <c r="M15" i="42"/>
  <c r="M11" i="42"/>
  <c r="M7" i="42"/>
  <c r="L25" i="42"/>
  <c r="L21" i="42"/>
  <c r="L17" i="42"/>
  <c r="L13" i="42"/>
  <c r="L9" i="42"/>
  <c r="L5" i="42"/>
  <c r="M22" i="42"/>
  <c r="M18" i="42"/>
  <c r="M14" i="42"/>
  <c r="M10" i="42"/>
  <c r="M6" i="42"/>
  <c r="L24" i="42"/>
  <c r="L20" i="42"/>
  <c r="L16" i="42"/>
  <c r="L12" i="42"/>
  <c r="L8" i="42"/>
  <c r="L4" i="42"/>
  <c r="M25" i="42"/>
  <c r="M21" i="42"/>
  <c r="M17" i="42"/>
  <c r="M13" i="42"/>
  <c r="M9" i="42"/>
  <c r="M5" i="42"/>
  <c r="L23" i="42"/>
  <c r="L19" i="42"/>
  <c r="L15" i="42"/>
  <c r="L11" i="42"/>
  <c r="L7" i="42"/>
  <c r="M23" i="38"/>
  <c r="M19" i="38"/>
  <c r="M11" i="38"/>
  <c r="M7" i="38"/>
  <c r="L25" i="38"/>
  <c r="L17" i="38"/>
  <c r="L9" i="38"/>
  <c r="M22" i="38"/>
  <c r="M18" i="38"/>
  <c r="M14" i="38"/>
  <c r="M10" i="38"/>
  <c r="M6" i="38"/>
  <c r="L24" i="38"/>
  <c r="L20" i="38"/>
  <c r="L16" i="38"/>
  <c r="L12" i="38"/>
  <c r="L8" i="38"/>
  <c r="L4" i="38"/>
  <c r="M17" i="38"/>
  <c r="L23" i="38"/>
  <c r="L11" i="38"/>
  <c r="M25" i="38"/>
  <c r="M21" i="38"/>
  <c r="M9" i="38"/>
  <c r="M5" i="38"/>
  <c r="L19" i="38"/>
  <c r="L15" i="38"/>
  <c r="L7" i="38"/>
  <c r="M24" i="38"/>
  <c r="M20" i="38"/>
  <c r="M16" i="38"/>
  <c r="M12" i="38"/>
  <c r="M8" i="38"/>
  <c r="M4" i="38"/>
  <c r="L22" i="38"/>
  <c r="L18" i="38"/>
  <c r="L14" i="38"/>
  <c r="L10" i="38"/>
  <c r="L6" i="38"/>
  <c r="L21" i="38"/>
  <c r="L13" i="38"/>
  <c r="L5" i="38"/>
  <c r="L25" i="41"/>
  <c r="L23" i="41"/>
  <c r="L24" i="41"/>
  <c r="L22" i="41"/>
  <c r="M24" i="41"/>
  <c r="L21" i="41"/>
  <c r="L19" i="41"/>
  <c r="L17" i="41"/>
  <c r="L15" i="41"/>
  <c r="L13" i="41"/>
  <c r="L11" i="41"/>
  <c r="L9" i="41"/>
  <c r="L7" i="41"/>
  <c r="L5" i="41"/>
  <c r="M23" i="41"/>
  <c r="M20" i="41"/>
  <c r="M18" i="41"/>
  <c r="M16" i="41"/>
  <c r="M14" i="41"/>
  <c r="M12" i="41"/>
  <c r="M10" i="41"/>
  <c r="M8" i="41"/>
  <c r="M6" i="41"/>
  <c r="M4" i="41"/>
  <c r="M22" i="41"/>
  <c r="L20" i="41"/>
  <c r="L18" i="41"/>
  <c r="L16" i="41"/>
  <c r="L14" i="41"/>
  <c r="L12" i="41"/>
  <c r="L10" i="41"/>
  <c r="L8" i="41"/>
  <c r="L6" i="41"/>
  <c r="L4" i="41"/>
  <c r="M25" i="41"/>
  <c r="M21" i="41"/>
  <c r="M19" i="41"/>
  <c r="M17" i="41"/>
  <c r="M15" i="41"/>
  <c r="M13" i="41"/>
  <c r="M11" i="41"/>
  <c r="M9" i="41"/>
  <c r="M7" i="41"/>
  <c r="M5" i="41"/>
  <c r="L5" i="40"/>
  <c r="M24" i="40"/>
  <c r="M22" i="40"/>
  <c r="M20" i="40"/>
  <c r="L4" i="40"/>
  <c r="L24" i="40"/>
  <c r="L22" i="40"/>
  <c r="L20" i="40"/>
  <c r="L18" i="40"/>
  <c r="L16" i="40"/>
  <c r="L14" i="40"/>
  <c r="L12" i="40"/>
  <c r="L10" i="40"/>
  <c r="L8" i="40"/>
  <c r="L6" i="40"/>
  <c r="M25" i="40"/>
  <c r="M23" i="40"/>
  <c r="M21" i="40"/>
  <c r="M19" i="40"/>
  <c r="M17" i="40"/>
  <c r="M15" i="40"/>
  <c r="M13" i="40"/>
  <c r="L25" i="40"/>
  <c r="L23" i="40"/>
  <c r="L21" i="40"/>
  <c r="L19" i="40"/>
  <c r="L17" i="40"/>
  <c r="L15" i="40"/>
  <c r="L13" i="40"/>
  <c r="L11" i="40"/>
  <c r="L9" i="40"/>
  <c r="L7" i="40"/>
  <c r="M4" i="40"/>
  <c r="M18" i="40"/>
  <c r="M11" i="40"/>
  <c r="M7" i="40"/>
  <c r="M16" i="40"/>
  <c r="M10" i="40"/>
  <c r="M6" i="40"/>
  <c r="M14" i="40"/>
  <c r="M9" i="40"/>
  <c r="M5" i="40"/>
  <c r="M12" i="40"/>
  <c r="M8" i="40"/>
  <c r="M24" i="44"/>
  <c r="M20" i="44"/>
  <c r="M16" i="44"/>
  <c r="M12" i="44"/>
  <c r="M8" i="44"/>
  <c r="M4" i="44"/>
  <c r="L22" i="44"/>
  <c r="L18" i="44"/>
  <c r="L14" i="44"/>
  <c r="L10" i="44"/>
  <c r="L6" i="44"/>
  <c r="M23" i="44"/>
  <c r="M19" i="44"/>
  <c r="M15" i="44"/>
  <c r="M11" i="44"/>
  <c r="M7" i="44"/>
  <c r="L25" i="44"/>
  <c r="L21" i="44"/>
  <c r="L17" i="44"/>
  <c r="L13" i="44"/>
  <c r="L9" i="44"/>
  <c r="L5" i="44"/>
  <c r="M22" i="44"/>
  <c r="M18" i="44"/>
  <c r="M14" i="44"/>
  <c r="M10" i="44"/>
  <c r="M6" i="44"/>
  <c r="L24" i="44"/>
  <c r="L20" i="44"/>
  <c r="L16" i="44"/>
  <c r="L12" i="44"/>
  <c r="L8" i="44"/>
  <c r="L4" i="44"/>
  <c r="M25" i="44"/>
  <c r="M21" i="44"/>
  <c r="M17" i="44"/>
  <c r="M13" i="44"/>
  <c r="M9" i="44"/>
  <c r="M5" i="44"/>
  <c r="L23" i="44"/>
  <c r="L19" i="44"/>
  <c r="L15" i="44"/>
  <c r="L11" i="44"/>
  <c r="L7" i="44"/>
  <c r="M24" i="43"/>
  <c r="M20" i="43"/>
  <c r="M16" i="43"/>
  <c r="M12" i="43"/>
  <c r="M8" i="43"/>
  <c r="M4" i="43"/>
  <c r="L22" i="43"/>
  <c r="L18" i="43"/>
  <c r="L14" i="43"/>
  <c r="L10" i="43"/>
  <c r="L6" i="43"/>
  <c r="M23" i="43"/>
  <c r="M19" i="43"/>
  <c r="M15" i="43"/>
  <c r="M11" i="43"/>
  <c r="M7" i="43"/>
  <c r="L25" i="43"/>
  <c r="L21" i="43"/>
  <c r="L17" i="43"/>
  <c r="L13" i="43"/>
  <c r="L9" i="43"/>
  <c r="L5" i="43"/>
  <c r="M22" i="43"/>
  <c r="M18" i="43"/>
  <c r="M14" i="43"/>
  <c r="M10" i="43"/>
  <c r="M6" i="43"/>
  <c r="L24" i="43"/>
  <c r="L20" i="43"/>
  <c r="L16" i="43"/>
  <c r="L12" i="43"/>
  <c r="L8" i="43"/>
  <c r="L4" i="43"/>
  <c r="M25" i="43"/>
  <c r="M21" i="43"/>
  <c r="M17" i="43"/>
  <c r="M13" i="43"/>
  <c r="M9" i="43"/>
  <c r="M5" i="43"/>
  <c r="L23" i="43"/>
  <c r="L19" i="43"/>
  <c r="L15" i="43"/>
  <c r="L11" i="43"/>
  <c r="L7" i="43"/>
</calcChain>
</file>

<file path=xl/sharedStrings.xml><?xml version="1.0" encoding="utf-8"?>
<sst xmlns="http://schemas.openxmlformats.org/spreadsheetml/2006/main" count="4931" uniqueCount="428">
  <si>
    <t>Formy aktywizacji zawodowej, z tego (suma wierszy od 02 do 19, 21 i 22)</t>
  </si>
  <si>
    <t>Staże</t>
  </si>
  <si>
    <t>Szkolenia</t>
  </si>
  <si>
    <t>Prace interwencyjne</t>
  </si>
  <si>
    <t>Roboty publiczne</t>
  </si>
  <si>
    <t>Prace społecznie użyteczne (bez PAI)</t>
  </si>
  <si>
    <t>Zatrudnienie wspierane</t>
  </si>
  <si>
    <t>Przygotowanie zawodowe dorosłych</t>
  </si>
  <si>
    <t>Stypendia za okres kontynuowania nauki</t>
  </si>
  <si>
    <t>Studia podyplomowe</t>
  </si>
  <si>
    <t>Bon zatrudnieniowy</t>
  </si>
  <si>
    <t>Bon na zasiedlenie</t>
  </si>
  <si>
    <t>Dofinansowanie wynagrodzenia skierowanych bezrob. powyżej 50 r.ż.</t>
  </si>
  <si>
    <t>Świadczenie aktywizacyjne</t>
  </si>
  <si>
    <t>Wynagrodzenia i koszty osobowe członków spółdzielni socjaln.</t>
  </si>
  <si>
    <t>Grant na telepracę</t>
  </si>
  <si>
    <t>Dofinansowanie podejmowania działalności gospodarczej</t>
  </si>
  <si>
    <t>Refundacja kosztów wyposażenia i doposażenia stanowiska pracy</t>
  </si>
  <si>
    <t>Programy specjalne</t>
  </si>
  <si>
    <t>Refundacja wynagrodzeń osób do 30 rż</t>
  </si>
  <si>
    <t>Suma kontrolna (wiersze od 1 do 23)</t>
  </si>
  <si>
    <t>Wyszczególnienie</t>
  </si>
  <si>
    <t>ROK</t>
  </si>
  <si>
    <t>M_C</t>
  </si>
  <si>
    <t>WGM</t>
  </si>
  <si>
    <t>NRW</t>
  </si>
  <si>
    <t>12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</si>
  <si>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</si>
  <si>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</si>
  <si>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</si>
  <si>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</si>
  <si>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</si>
  <si>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</si>
  <si>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</si>
  <si>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</si>
  <si>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</si>
  <si>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</si>
  <si>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</si>
  <si>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</si>
  <si>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</si>
  <si>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</si>
  <si>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</si>
  <si>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</si>
  <si>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</si>
  <si>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</si>
  <si>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</si>
  <si>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</si>
  <si>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</si>
  <si>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</si>
  <si>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C1</t>
  </si>
  <si>
    <t>C2</t>
  </si>
  <si>
    <t>A</t>
  </si>
  <si>
    <t>rozpoczynający</t>
  </si>
  <si>
    <t>uczestnicy</t>
  </si>
  <si>
    <t>graduanci</t>
  </si>
  <si>
    <t>lata</t>
  </si>
  <si>
    <t>Formy</t>
  </si>
  <si>
    <t>aktywizacji</t>
  </si>
  <si>
    <t>Dofinansowanie działalności gospodarczej</t>
  </si>
  <si>
    <t>Refundacja kosztów wyposażenia lub doposażenia miejsca pracy</t>
  </si>
  <si>
    <t>---</t>
  </si>
  <si>
    <t>Efektywność kosztowa</t>
  </si>
  <si>
    <t>Efektywność zatrudnieniowa</t>
  </si>
  <si>
    <t>Polska</t>
  </si>
  <si>
    <t>wskaźnik efektywności kosztowej</t>
  </si>
  <si>
    <t>brak danych</t>
  </si>
  <si>
    <t>Wydatki</t>
  </si>
  <si>
    <t>(tys. zł)</t>
  </si>
  <si>
    <t>(zł)</t>
  </si>
  <si>
    <t>Efektywność</t>
  </si>
  <si>
    <t>kosztowa</t>
  </si>
  <si>
    <t>lokata</t>
  </si>
  <si>
    <t>woj. podkarpackie</t>
  </si>
  <si>
    <t>Ustrzyki Dolne</t>
  </si>
  <si>
    <t>Brzozów</t>
  </si>
  <si>
    <t>Dębica</t>
  </si>
  <si>
    <t>Jarosław</t>
  </si>
  <si>
    <t>Jasło</t>
  </si>
  <si>
    <t>Kolbuszowa</t>
  </si>
  <si>
    <t>Krosno</t>
  </si>
  <si>
    <t>Leżajsk</t>
  </si>
  <si>
    <t>Lubaczów</t>
  </si>
  <si>
    <t>Łańcut</t>
  </si>
  <si>
    <t>Mielec</t>
  </si>
  <si>
    <t>Nisko</t>
  </si>
  <si>
    <t>Przeworsk</t>
  </si>
  <si>
    <t>Ropczyce</t>
  </si>
  <si>
    <t>Rzeszów</t>
  </si>
  <si>
    <t>Sanok</t>
  </si>
  <si>
    <t>Stalowa Wola</t>
  </si>
  <si>
    <t>Strzyżów</t>
  </si>
  <si>
    <t>Tarnobrzeg</t>
  </si>
  <si>
    <t>Lesko</t>
  </si>
  <si>
    <t>6AF</t>
  </si>
  <si>
    <t>zatrud.</t>
  </si>
  <si>
    <t>$</t>
  </si>
  <si>
    <t>Teren działania PUP</t>
  </si>
  <si>
    <t>Przemyśl</t>
  </si>
  <si>
    <t>lokat</t>
  </si>
  <si>
    <t>róźnica</t>
  </si>
  <si>
    <t>Podkarpacie</t>
  </si>
  <si>
    <t>teren PUP</t>
  </si>
  <si>
    <t>zatrudnieniowa</t>
  </si>
  <si>
    <t>kończący udział</t>
  </si>
  <si>
    <t>Bezrobotni zatrudnieni po zakończeniu form aktywnych</t>
  </si>
  <si>
    <t>spr</t>
  </si>
  <si>
    <t>LP</t>
  </si>
  <si>
    <t>wskaźnik efektywności zatrudnieniowej</t>
  </si>
  <si>
    <t>rozpoczęli</t>
  </si>
  <si>
    <t>ukończyli</t>
  </si>
  <si>
    <t>podjęli pracę</t>
  </si>
  <si>
    <t>efektywność zatrudnieniowa</t>
  </si>
  <si>
    <t>koszt uczestnictwa 1 osoby bezrobotnej</t>
  </si>
  <si>
    <t>MINISTERSTWO PRACY I  POLITYKI SPOŁECZNEJ                                                                                                                                               ul. Nowogrodzka  1/3/5  00 - 513 Warszawa</t>
  </si>
  <si>
    <r>
      <t xml:space="preserve">Sporządzający sprawozdanie:                                                                                                                                                           - Wojewódzki Urząd Pracy (WUP)                                       w ......................................................,                                                                                                                                                                    - Powiatowy Urząd Pracy (PUP)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 .............................................                                                                                               Numer idendyfikacyjny - REGON                                                                                   </t>
    </r>
    <r>
      <rPr>
        <sz val="10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L L L L L L L L L L</t>
    </r>
    <r>
      <rPr>
        <sz val="11"/>
        <color theme="1"/>
        <rFont val="Calibri"/>
        <family val="2"/>
        <charset val="238"/>
        <scheme val="minor"/>
      </rPr>
      <t/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</si>
  <si>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1                                                    do sprawozdania MRPiPS - 02                                                                                                                                                                              Efektywność programów na rzecz promocji zatrudnienia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 ......... rok                                                                                                                </t>
  </si>
  <si>
    <t xml:space="preserve">Termin przekazania: zgodnie z  programem PBSSP 2018 r. </t>
  </si>
  <si>
    <r>
      <t>Wydatki Funduszu Pracy w tys. zł</t>
    </r>
    <r>
      <rPr>
        <vertAlign val="superscript"/>
        <sz val="10"/>
        <color theme="1"/>
        <rFont val="Arial"/>
        <family val="2"/>
        <charset val="238"/>
      </rPr>
      <t>a)</t>
    </r>
  </si>
  <si>
    <r>
      <t>Liczba osób uczestniczących w danej formie aktywizacji</t>
    </r>
    <r>
      <rPr>
        <vertAlign val="superscript"/>
        <sz val="10"/>
        <color theme="1"/>
        <rFont val="Arial"/>
        <family val="2"/>
        <charset val="238"/>
      </rPr>
      <t>b)</t>
    </r>
  </si>
  <si>
    <r>
      <t xml:space="preserve">Liczba osób, które zakończyły udział w danej formie aktywizacji </t>
    </r>
    <r>
      <rPr>
        <vertAlign val="superscript"/>
        <sz val="10"/>
        <color theme="1"/>
        <rFont val="Arial"/>
        <family val="2"/>
        <charset val="238"/>
      </rPr>
      <t>b)</t>
    </r>
  </si>
  <si>
    <r>
      <t xml:space="preserve">Liczba osób, które zostały zatrudnione </t>
    </r>
    <r>
      <rPr>
        <vertAlign val="superscript"/>
        <sz val="10"/>
        <color theme="1"/>
        <rFont val="Arial"/>
        <family val="2"/>
        <charset val="238"/>
      </rPr>
      <t>b)</t>
    </r>
  </si>
  <si>
    <t xml:space="preserve">Staże  </t>
  </si>
  <si>
    <t>Program Aktywizacja i Integracja</t>
  </si>
  <si>
    <t>Refundacja składek na ubezpieczenia społeczne</t>
  </si>
  <si>
    <t>w tym</t>
  </si>
  <si>
    <t>w ramach spółdzielni socjalnej</t>
  </si>
  <si>
    <r>
      <rPr>
        <vertAlign val="superscript"/>
        <sz val="10"/>
        <rFont val="Arial CE"/>
        <charset val="238"/>
      </rPr>
      <t>a)</t>
    </r>
    <r>
      <rPr>
        <sz val="11"/>
        <color theme="1"/>
        <rFont val="Calibri"/>
        <family val="2"/>
        <charset val="238"/>
        <scheme val="minor"/>
      </rPr>
      <t xml:space="preserve"> Z jednym znakiem po przecinku.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</si>
  <si>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W wierszach rubryki 2, 3, 4 należy tylko raz ujmować osoby, niezależnie od liczby miesięcy.</t>
    </r>
  </si>
  <si>
    <t>Czas  na przygotowanie danych do wypełnienia formularza (min)</t>
  </si>
  <si>
    <t>Czas  na wypełnienie formularza (w min)</t>
  </si>
  <si>
    <t>…………………………………</t>
  </si>
  <si>
    <t>……………………</t>
  </si>
  <si>
    <t>(wyjaśnienia dotyczące sprawozdania</t>
  </si>
  <si>
    <t>miejscowość, data</t>
  </si>
  <si>
    <t>można uzyskać pod numerem telefonu)</t>
  </si>
  <si>
    <t>szkolenia</t>
  </si>
  <si>
    <t>staże</t>
  </si>
  <si>
    <t>ogółem</t>
  </si>
  <si>
    <t>prace interw.</t>
  </si>
  <si>
    <t>roboty publ.</t>
  </si>
  <si>
    <t>refund. koszt.</t>
  </si>
  <si>
    <t>dof. działaln.</t>
  </si>
  <si>
    <t>wg VI</t>
  </si>
  <si>
    <t>1807+1861</t>
  </si>
  <si>
    <t>1813+1862</t>
  </si>
  <si>
    <t>1816+1863</t>
  </si>
  <si>
    <t>1820+1864</t>
  </si>
  <si>
    <t>sort do wykr.</t>
  </si>
  <si>
    <t>ref. koszt.</t>
  </si>
  <si>
    <t>prace int.</t>
  </si>
  <si>
    <t>dof. dział.</t>
  </si>
  <si>
    <t>teren dz. PUP</t>
  </si>
  <si>
    <t>a</t>
  </si>
  <si>
    <t>wg V</t>
  </si>
  <si>
    <t>wg IV</t>
  </si>
  <si>
    <t>wg III</t>
  </si>
  <si>
    <t>wg II</t>
  </si>
  <si>
    <t>wg I</t>
  </si>
  <si>
    <t>rozp.</t>
  </si>
  <si>
    <t>zakończenie</t>
  </si>
  <si>
    <t>podjęcie pracy</t>
  </si>
  <si>
    <t>koszty</t>
  </si>
  <si>
    <t>na 1 bezr.</t>
  </si>
  <si>
    <t>koszty do efekt koszt</t>
  </si>
  <si>
    <t>KOSZTY w pełnych zł. bez zaokrągleń</t>
  </si>
  <si>
    <t>podejmujący pracę</t>
  </si>
  <si>
    <t>Wskaźnik efekt. kosztowej, Podkarpackie</t>
  </si>
  <si>
    <t>KOSZTY (w tys. zł.)</t>
  </si>
  <si>
    <t>Formy aktywizacji</t>
  </si>
  <si>
    <t>Efektywność Zatrudnieniowa *</t>
  </si>
  <si>
    <t>wzrost</t>
  </si>
  <si>
    <t>lub spadek</t>
  </si>
  <si>
    <t>wyszczególnienie</t>
  </si>
  <si>
    <t>Wzrost</t>
  </si>
  <si>
    <t>Spadek</t>
  </si>
  <si>
    <t>1995=</t>
  </si>
  <si>
    <t>sektor publiczny</t>
  </si>
  <si>
    <t>własność państwowa</t>
  </si>
  <si>
    <t>bd</t>
  </si>
  <si>
    <t>własność skarbu państwa</t>
  </si>
  <si>
    <t>przedsiębiorstwa państwowe</t>
  </si>
  <si>
    <t>Jednostek samorządu terytorialnego</t>
  </si>
  <si>
    <t>własność prywatna krajowa</t>
  </si>
  <si>
    <t xml:space="preserve">   w tym spółdzielnie</t>
  </si>
  <si>
    <t>Własność zagraniczna</t>
  </si>
  <si>
    <t>koszt uczestn. 1 os. bezr.</t>
  </si>
  <si>
    <t>KOSZTY w pełnych zł.</t>
  </si>
  <si>
    <t>Lp</t>
  </si>
  <si>
    <t>Efektywność zatrudnieniowa liczba osób zatrudnionych w danej formie / liczba osób, które zakończyły udział w danej formie aktywizacji</t>
  </si>
  <si>
    <t>Efektywność kosztowa koszt uczestnictwa dla danej formy liczba osób zatrudnionych w danej formie</t>
  </si>
  <si>
    <t>katalog MRPiPS</t>
  </si>
  <si>
    <t>kwoty wyd. w woj. podkarpackim (w tys. zł.)</t>
  </si>
  <si>
    <t>Wskaźnik efektywności zatrudnieniowej, Podkarpackie</t>
  </si>
  <si>
    <t>Wskaźniki efektywności, województwo podkarpackie</t>
  </si>
  <si>
    <t>8 form akt.</t>
  </si>
  <si>
    <t>7 form akt.</t>
  </si>
  <si>
    <t>6 form akt.</t>
  </si>
  <si>
    <t>efektywnosć zatrudnieniowa</t>
  </si>
  <si>
    <t>efektywnosć kosztowa</t>
  </si>
  <si>
    <t>okres</t>
  </si>
  <si>
    <t>MINISTERSTWO RODZINY, PRACY I POLITYKI SPOŁECZNEJ</t>
  </si>
  <si>
    <t>ul. Nowogrodzka 1/3/5, 00-513 Warszawa</t>
  </si>
  <si>
    <t>Załącznik nr 1</t>
  </si>
  <si>
    <t>do sprawozdania MRPiPS - 02</t>
  </si>
  <si>
    <t>Termin przekazania:</t>
  </si>
  <si>
    <t>Efektywność programów na rzecz</t>
  </si>
  <si>
    <t>zgodnie z PBSSP 2019 r.</t>
  </si>
  <si>
    <t>promocji zatrudnienia</t>
  </si>
  <si>
    <t>za 2019 rok</t>
  </si>
  <si>
    <t>Liczba osób,</t>
  </si>
  <si>
    <t>Liczba osób</t>
  </si>
  <si>
    <t>które</t>
  </si>
  <si>
    <t>uczestniczących</t>
  </si>
  <si>
    <t>zakończyły</t>
  </si>
  <si>
    <t>Funduszu</t>
  </si>
  <si>
    <t>które zostały</t>
  </si>
  <si>
    <t>w danej formie</t>
  </si>
  <si>
    <t>udział w danej</t>
  </si>
  <si>
    <t>Pracy w tys. zł</t>
  </si>
  <si>
    <t>zatrudnione</t>
  </si>
  <si>
    <t>formie</t>
  </si>
  <si>
    <t>a)</t>
  </si>
  <si>
    <t>b)</t>
  </si>
  <si>
    <t>Refundacja składek na ubezpieczenia</t>
  </si>
  <si>
    <t>Koszty wynagrodzeń osób skierowanych do spółdzielni socjalnej</t>
  </si>
  <si>
    <t>Suma kontrolna (wiersze od 1 do 26)</t>
  </si>
  <si>
    <t>aktywizacji b)</t>
  </si>
  <si>
    <r>
      <t>a)</t>
    </r>
    <r>
      <rPr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Z jednym znakiem po przecinku.</t>
    </r>
  </si>
  <si>
    <r>
      <t>b)</t>
    </r>
    <r>
      <rPr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W wierszach rubryki 2, 3, 4 należy tylko raz ujmować osoby, niezależnie od liczby miesięcy.</t>
    </r>
  </si>
  <si>
    <t>Formy aktywizacji zawodowej, z tego (suma wierszy od 02 do 19, 21, 23 do 26)</t>
  </si>
  <si>
    <t>Refundacja wynagrodzeń osób do 30 roku życia</t>
  </si>
  <si>
    <t>Koszty utworzenia miejsca pracy dla osób skier. do sp. socjalnej</t>
  </si>
  <si>
    <t>sektor prywatny</t>
  </si>
  <si>
    <t>Koszty utworzenia stanowiska pracy dla osób skierowanych do sp. socjalnej</t>
  </si>
  <si>
    <t>Formy  aktywizacji</t>
  </si>
  <si>
    <t>Efektywność  Kosztowa*</t>
  </si>
  <si>
    <t>wzrost lub spadek</t>
  </si>
  <si>
    <t>(w zł, średni koszt na 1 osobę)</t>
  </si>
  <si>
    <t>(w proc.)</t>
  </si>
  <si>
    <r>
      <rPr>
        <b/>
        <sz val="9"/>
        <color theme="1"/>
        <rFont val="Arial"/>
        <family val="2"/>
        <charset val="238"/>
      </rPr>
      <t xml:space="preserve">efektywnosć kosztowa </t>
    </r>
    <r>
      <rPr>
        <sz val="9"/>
        <color theme="1"/>
        <rFont val="Arial"/>
        <family val="2"/>
        <charset val="238"/>
      </rPr>
      <t>(koszt ponownego zatrudnienia)</t>
    </r>
  </si>
  <si>
    <t>Formularz za 2018 rok</t>
  </si>
  <si>
    <t>Formularz za 2019 rok</t>
  </si>
  <si>
    <t>Formularz za 2020 rok</t>
  </si>
  <si>
    <t>MI</t>
  </si>
  <si>
    <t>NISTERSTWO RODZINY, PRACY I POLITYKI SPOŁECZNEJ ul. Nowogrodzka 1/3/5, 00-513 Warszawa</t>
  </si>
  <si>
    <t>Wojewódzki Urząd Pracy w Rzeszowie</t>
  </si>
  <si>
    <t xml:space="preserve"> </t>
  </si>
  <si>
    <t>Powiaty Razem</t>
  </si>
  <si>
    <t xml:space="preserve">Załącznik nr 1 do sprawozdania MRPiPS - 02 </t>
  </si>
  <si>
    <t>Efektywność programów na rzecz promocji zatrudnienia za 2020 rok</t>
  </si>
  <si>
    <t>zgodnie z PBSSP 2020 r.</t>
  </si>
  <si>
    <t>Numer identyfikacyjny REGON</t>
  </si>
  <si>
    <t>Liczba osób uczestniczących</t>
  </si>
  <si>
    <t>w danej formie aktywizacji</t>
  </si>
  <si>
    <t>Liczba osób, które</t>
  </si>
  <si>
    <t>Liczba osób, które zostały zatrudnione</t>
  </si>
  <si>
    <t>Koszty utworzenia stanowiska pracy dla osób skierowanych do spółdzielni socjalnej</t>
  </si>
  <si>
    <t>Czas na przygotowanie danych do wypełnienia formularza (min)</t>
  </si>
  <si>
    <t>Czas na wypełnienie formularza (min)</t>
  </si>
  <si>
    <r>
      <t>udział w danej formie aktywizacji</t>
    </r>
    <r>
      <rPr>
        <vertAlign val="subscript"/>
        <sz val="10"/>
        <color rgb="FF000000"/>
        <rFont val="Arial"/>
        <family val="2"/>
        <charset val="238"/>
      </rPr>
      <t>b)</t>
    </r>
  </si>
  <si>
    <r>
      <t>a)</t>
    </r>
    <r>
      <rPr>
        <sz val="7"/>
        <color rgb="FF000000"/>
        <rFont val="Times New Roman"/>
        <family val="1"/>
        <charset val="238"/>
      </rPr>
      <t xml:space="preserve"> </t>
    </r>
    <r>
      <rPr>
        <sz val="8"/>
        <color rgb="FF000000"/>
        <rFont val="Arial"/>
        <family val="2"/>
        <charset val="238"/>
      </rPr>
      <t>Z jednym znakiem po przecinku.</t>
    </r>
  </si>
  <si>
    <r>
      <t>b)</t>
    </r>
    <r>
      <rPr>
        <sz val="7"/>
        <color rgb="FF000000"/>
        <rFont val="Times New Roman"/>
        <family val="1"/>
        <charset val="238"/>
      </rPr>
      <t xml:space="preserve"> </t>
    </r>
    <r>
      <rPr>
        <sz val="8"/>
        <color rgb="FF000000"/>
        <rFont val="Arial"/>
        <family val="2"/>
        <charset val="238"/>
      </rPr>
      <t>W wierszach rubryki 2, 3, 4 należy tylko raz ujmować osoby, niezależnie od liczby miesięcy.</t>
    </r>
  </si>
  <si>
    <t>prace interwencyjne</t>
  </si>
  <si>
    <t>roboty publiczne</t>
  </si>
  <si>
    <t>dofinansowanie dz. gosp.</t>
  </si>
  <si>
    <t>refundacja kosztów dop. I wyp. st. pracy</t>
  </si>
  <si>
    <t>WEK</t>
  </si>
  <si>
    <t>WEK - Wskaźnik efektywności kosztowej</t>
  </si>
  <si>
    <t>(WEK)</t>
  </si>
  <si>
    <t>WEZ</t>
  </si>
  <si>
    <r>
      <rPr>
        <b/>
        <sz val="9"/>
        <color theme="1"/>
        <rFont val="Arial"/>
        <family val="2"/>
        <charset val="238"/>
      </rPr>
      <t>efektywnosć kosztowa</t>
    </r>
    <r>
      <rPr>
        <sz val="9"/>
        <color theme="1"/>
        <rFont val="Arial"/>
        <family val="2"/>
        <charset val="238"/>
      </rPr>
      <t xml:space="preserve"> (koszt ponownego zatrudnienia)</t>
    </r>
  </si>
  <si>
    <t>PRZECIĘTNE ZATRUDNIENIE W PRZEMYŚLE W LATACH 1995–2020, POLSKA W TYS.</t>
  </si>
  <si>
    <t>20+64</t>
  </si>
  <si>
    <t>16+63</t>
  </si>
  <si>
    <t>13+62</t>
  </si>
  <si>
    <t>07+61</t>
  </si>
  <si>
    <t>Wskaźniki efekrywności 2021 rok</t>
  </si>
  <si>
    <t>Wskaźniki efekrywności 2020 rok</t>
  </si>
  <si>
    <t>Wskaźniki efekrywności 2019 rok</t>
  </si>
  <si>
    <t>Wskaźniki efekrywności 2018 rok</t>
  </si>
  <si>
    <t>Wskaźniki efekrywności 2017 rok</t>
  </si>
  <si>
    <t>Wskaźniki efekrywności 2016 rok</t>
  </si>
  <si>
    <t>Wskaźniki efekrywności 2015 rok</t>
  </si>
  <si>
    <t>Koszty utworzenia stanowiska pracy dla osób skierowanych w spółdzielni socjalnej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</si>
  <si>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                                                  do sprawozdania MRiPS-02                                                                                                                                                                              Efektywność programów na rzecz promocji zatrudnienia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 ......... rok                                                                                                                </t>
  </si>
  <si>
    <t xml:space="preserve">Termin przekazania: zgodnie z  programem PBSSP 2022 r. </t>
  </si>
  <si>
    <r>
      <t xml:space="preserve">Sporządzający sprawozdanie:                                                                                                                                                           - Wojewódzki Urząd Pracy (WUP)                                       w ......................................................,                                                                                                                                                                    - Powiatowy Urząd Pracy (PUP)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 .............................................                                                                                               Numer idendyfikacyjny - REGON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L L L L L L L L L L</t>
    </r>
    <r>
      <rPr>
        <sz val="11"/>
        <color theme="1"/>
        <rFont val="Calibri"/>
        <family val="2"/>
        <charset val="238"/>
        <scheme val="minor"/>
      </rPr>
      <t/>
    </r>
  </si>
  <si>
    <r>
      <t>Wydatki Funduszu Pracy w zł</t>
    </r>
    <r>
      <rPr>
        <vertAlign val="superscript"/>
        <sz val="8"/>
        <rFont val="Arial"/>
        <family val="2"/>
        <charset val="238"/>
      </rPr>
      <t>a)</t>
    </r>
  </si>
  <si>
    <r>
      <t>Liczba osób uczestniczących w danej formie aktywizacji</t>
    </r>
    <r>
      <rPr>
        <vertAlign val="superscript"/>
        <sz val="8"/>
        <rFont val="Arial"/>
        <family val="2"/>
        <charset val="238"/>
      </rPr>
      <t>b)</t>
    </r>
  </si>
  <si>
    <r>
      <t xml:space="preserve">Liczba osób, które zakończyły udział w danej formie aktywizacji </t>
    </r>
    <r>
      <rPr>
        <vertAlign val="superscript"/>
        <sz val="8"/>
        <rFont val="Arial"/>
        <family val="2"/>
        <charset val="238"/>
      </rPr>
      <t>b)</t>
    </r>
  </si>
  <si>
    <r>
      <t xml:space="preserve">Liczba osób, które zostały zatrudnione </t>
    </r>
    <r>
      <rPr>
        <vertAlign val="superscript"/>
        <sz val="8"/>
        <rFont val="Arial"/>
        <family val="2"/>
        <charset val="238"/>
      </rPr>
      <t>b)</t>
    </r>
  </si>
  <si>
    <r>
      <t xml:space="preserve">Formy aktywizacji zawodowej, z tego </t>
    </r>
    <r>
      <rPr>
        <b/>
        <sz val="8"/>
        <rFont val="Arial"/>
        <family val="2"/>
        <charset val="238"/>
      </rPr>
      <t>(suma wierszy od 02 do 19, 21, od 23 do 26)</t>
    </r>
  </si>
  <si>
    <r>
      <rPr>
        <vertAlign val="superscript"/>
        <sz val="8"/>
        <rFont val="Arial"/>
        <family val="2"/>
        <charset val="238"/>
      </rPr>
      <t>a)</t>
    </r>
    <r>
      <rPr>
        <sz val="8"/>
        <rFont val="Arial"/>
        <family val="2"/>
        <charset val="238"/>
      </rPr>
      <t xml:space="preserve"> Z dwoma znakami po przecinku (grosze).</t>
    </r>
  </si>
  <si>
    <r>
      <t>b)</t>
    </r>
    <r>
      <rPr>
        <sz val="8"/>
        <rFont val="Arial"/>
        <family val="2"/>
        <charset val="238"/>
      </rPr>
      <t xml:space="preserve"> W wierszach rubryki 2, 3, 4 należy tylko raz ujmować osoby, niezależnie od liczby miesięcy.</t>
    </r>
  </si>
  <si>
    <t>bon na zasiedlenie</t>
  </si>
  <si>
    <t>7AF</t>
  </si>
  <si>
    <t>MINISTERSTWO RODZINY I POLITYKI SPOŁECZNEJ                                                                                                                                     NOWOGRODZKA 1/3/5  00-513 Warszawa</t>
  </si>
  <si>
    <t>bon na zas.</t>
  </si>
  <si>
    <t>wg VII</t>
  </si>
  <si>
    <t>bon zas.</t>
  </si>
  <si>
    <t>2015=100 proc.</t>
  </si>
  <si>
    <t>Razem 7 podstawowych form</t>
  </si>
  <si>
    <r>
      <t xml:space="preserve">7 podstawowych form - </t>
    </r>
    <r>
      <rPr>
        <b/>
        <sz val="11"/>
        <color rgb="FFFF0000"/>
        <rFont val="Times New Roman"/>
        <family val="1"/>
        <charset val="238"/>
      </rPr>
      <t>podjęcie pracy</t>
    </r>
  </si>
  <si>
    <r>
      <t xml:space="preserve">7 podstawowych form - </t>
    </r>
    <r>
      <rPr>
        <b/>
        <sz val="11"/>
        <color rgb="FFFF0000"/>
        <rFont val="Times New Roman"/>
        <family val="1"/>
        <charset val="238"/>
      </rPr>
      <t>efektywność zatrudnieniowa</t>
    </r>
  </si>
  <si>
    <t>6 aktywnych form MRPiPS</t>
  </si>
  <si>
    <t>Razem 6 podstawowych form</t>
  </si>
  <si>
    <t>6 aktywnych form</t>
  </si>
  <si>
    <t>7 aktywnych form</t>
  </si>
  <si>
    <t>7 aktywnych form (por.)</t>
  </si>
  <si>
    <t>Razem 7 form (do por.)</t>
  </si>
  <si>
    <t>Efektywność zatrudnieniowa (w proc.)</t>
  </si>
  <si>
    <t>Efektywność kosztowa (w proc.)</t>
  </si>
  <si>
    <t>proc.</t>
  </si>
  <si>
    <t>w pkt. proc., 2015=100 %</t>
  </si>
  <si>
    <t>Razem 6 form (do por.)</t>
  </si>
  <si>
    <t>Koszty (w tys. zł.)</t>
  </si>
  <si>
    <t>Uczestnicy form aktywnych z katalogu MRiPS</t>
  </si>
  <si>
    <t>Razem 6 form</t>
  </si>
  <si>
    <t>średni koszt uczestnictwa</t>
  </si>
  <si>
    <t>1 osoby</t>
  </si>
  <si>
    <t>6 form</t>
  </si>
  <si>
    <t>7 form</t>
  </si>
  <si>
    <r>
      <t xml:space="preserve">Wydatki Funduszu Pracy </t>
    </r>
    <r>
      <rPr>
        <b/>
        <sz val="10"/>
        <color theme="1"/>
        <rFont val="Arial"/>
        <family val="2"/>
        <charset val="238"/>
      </rPr>
      <t xml:space="preserve">w tys. zł </t>
    </r>
    <r>
      <rPr>
        <vertAlign val="superscript"/>
        <sz val="10"/>
        <color theme="1"/>
        <rFont val="Arial"/>
        <family val="2"/>
        <charset val="238"/>
      </rPr>
      <t>a)</t>
    </r>
  </si>
  <si>
    <t>Formy aktywne z katalogu MRPiPS</t>
  </si>
  <si>
    <t>3 najb. kumul. formy</t>
  </si>
  <si>
    <r>
      <t xml:space="preserve">7 podstawowych form - </t>
    </r>
    <r>
      <rPr>
        <sz val="11"/>
        <color rgb="FFFF0000"/>
        <rFont val="Times New Roman"/>
        <family val="1"/>
        <charset val="238"/>
      </rPr>
      <t>efektywność zatrudnieniowa</t>
    </r>
  </si>
  <si>
    <r>
      <t xml:space="preserve">7 podstawowych form - </t>
    </r>
    <r>
      <rPr>
        <sz val="11"/>
        <color rgb="FFFF0000"/>
        <rFont val="Times New Roman"/>
        <family val="1"/>
        <charset val="238"/>
      </rPr>
      <t>efektywność kosztowa (koszt p. zatrudnienia)</t>
    </r>
  </si>
  <si>
    <t>Wskaźniki efektywności w 2021 roku, województwo podkarpackie</t>
  </si>
  <si>
    <t>Wskaźniki efektywności w 2020 roku, województwo podkarpackie</t>
  </si>
  <si>
    <t>Wskaźniki efektywności w 2019 roku, województwo podkarpackie</t>
  </si>
  <si>
    <t>Wskaźniki efektywności w 2018 roku, województwo podkarpackie</t>
  </si>
  <si>
    <t>Wskaźniki efektywności w 2017 roku, województwo podkarpackie</t>
  </si>
  <si>
    <t>Wskaźniki efektywności w 2016 roku, województwo podkarpackie</t>
  </si>
  <si>
    <t>Wskaźniki efektywności w 2015 roku, województwo podkarpackie</t>
  </si>
  <si>
    <t>Koszty, efektywność kosztowa 2021 do 2020</t>
  </si>
  <si>
    <t>Lata</t>
  </si>
  <si>
    <t>Bezrobotni zatrudnieni</t>
  </si>
  <si>
    <t>po zakończeniu form aktywnych</t>
  </si>
  <si>
    <t>Ogólna liczba bezrobotnych</t>
  </si>
  <si>
    <t>31 XII danego roku</t>
  </si>
  <si>
    <t>Udział</t>
  </si>
  <si>
    <t>Bezrobotni</t>
  </si>
  <si>
    <t>Różnica</t>
  </si>
  <si>
    <t>liczbowa</t>
  </si>
  <si>
    <t>Różnica pomiędzy bezrobotnymi kończącymi udział w aktywnych formach a zatrudnionymi po zakonczeniu aktywizacji</t>
  </si>
  <si>
    <t>Udział zatrudnionych po ukończeniu aktywnych form w stosunku do poziomu bezrobocia w PUP</t>
  </si>
  <si>
    <t>7 Podst. form - efektywność  kosztowa tj. koszt ponownego zatrud.,  w zł. średni na 1 osobę zatr. po zak. prog.</t>
  </si>
  <si>
    <t>w złotych - pełne koszty w stosunku do osób zatrudnionych</t>
  </si>
  <si>
    <r>
      <t>(</t>
    </r>
    <r>
      <rPr>
        <b/>
        <sz val="9"/>
        <color theme="1"/>
        <rFont val="Arial"/>
        <family val="2"/>
        <charset val="238"/>
      </rPr>
      <t>w zł,</t>
    </r>
    <r>
      <rPr>
        <sz val="9"/>
        <color theme="1"/>
        <rFont val="Arial"/>
        <family val="2"/>
        <charset val="238"/>
      </rPr>
      <t xml:space="preserve"> średni koszt na 1 osobę)</t>
    </r>
  </si>
  <si>
    <t>Dofinansowanie do podejmowania działalności gospodarczej</t>
  </si>
  <si>
    <t>(w zł na 1 osobę)</t>
  </si>
  <si>
    <t>Wskaźniki efekrywności 2022 rok</t>
  </si>
  <si>
    <t>2022</t>
  </si>
  <si>
    <t>1801</t>
  </si>
  <si>
    <t>24</t>
  </si>
  <si>
    <t>25</t>
  </si>
  <si>
    <t>26</t>
  </si>
  <si>
    <t>27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</si>
  <si>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</si>
  <si>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</si>
  <si>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</si>
  <si>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</si>
  <si>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</si>
  <si>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</si>
  <si>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</si>
  <si>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</si>
  <si>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</si>
  <si>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</si>
  <si>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</si>
  <si>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1814</t>
  </si>
  <si>
    <t>1815</t>
  </si>
  <si>
    <t>1817</t>
  </si>
  <si>
    <t>1818</t>
  </si>
  <si>
    <t>1819</t>
  </si>
  <si>
    <t>1820</t>
  </si>
  <si>
    <t>1821</t>
  </si>
  <si>
    <t>1862</t>
  </si>
  <si>
    <t>1863</t>
  </si>
  <si>
    <t>Wskaźniki efektywności w 2022 roku, województwo podkarpackie</t>
  </si>
  <si>
    <t>Lokaty w 2022 r.</t>
  </si>
  <si>
    <t>Efektywnosć zatrudnieniowa i kosztowa w 2022 roku, województwo podkarpackie</t>
  </si>
  <si>
    <t>w pkt. proc., 2021=100 %</t>
  </si>
  <si>
    <t>Efektywność zatrudnieniowa 2015-2022</t>
  </si>
  <si>
    <t>Koszty, efektywność kosztowa 2022 do 2021</t>
  </si>
  <si>
    <t>Efektywnosć kosztowa w 2022 r.</t>
  </si>
  <si>
    <t>6 Podst. form - efektywność  kosztowa tj. koszt ponownego zatrud.,  w zł. średni na 1 osobę zatr. po zak. prog.</t>
  </si>
  <si>
    <r>
      <t>7 podstawowych form -</t>
    </r>
    <r>
      <rPr>
        <sz val="11"/>
        <color rgb="FFFF0000"/>
        <rFont val="Times New Roman"/>
        <family val="1"/>
        <charset val="238"/>
      </rPr>
      <t xml:space="preserve"> przeliczone koszty do efektywności kosztowej (wydatki kasowo) - </t>
    </r>
    <r>
      <rPr>
        <sz val="11"/>
        <color theme="1"/>
        <rFont val="Times New Roman"/>
        <family val="1"/>
        <charset val="238"/>
      </rPr>
      <t>w zł.</t>
    </r>
  </si>
  <si>
    <t>2021=100 proc.</t>
  </si>
  <si>
    <t>Efektywność kosztowa i zatrudnieniowa w 2022 r. - województwo podkarpackie</t>
  </si>
  <si>
    <t>7 podst.form</t>
  </si>
  <si>
    <t>6 podst. form</t>
  </si>
  <si>
    <t>7 podst. form</t>
  </si>
  <si>
    <t>średnia liczba bezrobotnych [w roku]</t>
  </si>
  <si>
    <t>[w proc.]</t>
  </si>
  <si>
    <r>
      <t xml:space="preserve">6 podstawowych form - </t>
    </r>
    <r>
      <rPr>
        <sz val="11"/>
        <color rgb="FFFF0000"/>
        <rFont val="Times New Roman"/>
        <family val="1"/>
        <charset val="238"/>
      </rPr>
      <t>rozpoczęcie</t>
    </r>
  </si>
  <si>
    <r>
      <t>6 podstawowych form -</t>
    </r>
    <r>
      <rPr>
        <sz val="11"/>
        <color rgb="FFFF0000"/>
        <rFont val="Times New Roman"/>
        <family val="1"/>
        <charset val="238"/>
      </rPr>
      <t xml:space="preserve"> koszty  </t>
    </r>
    <r>
      <rPr>
        <sz val="11"/>
        <color theme="1"/>
        <rFont val="Times New Roman"/>
        <family val="1"/>
        <charset val="238"/>
      </rPr>
      <t>w tys. zł.</t>
    </r>
  </si>
  <si>
    <r>
      <t xml:space="preserve">6 podstawowych form - </t>
    </r>
    <r>
      <rPr>
        <sz val="11"/>
        <color rgb="FFFF0000"/>
        <rFont val="Times New Roman"/>
        <family val="1"/>
        <charset val="238"/>
      </rPr>
      <t>graduacja</t>
    </r>
  </si>
  <si>
    <t>Formy   aktywizacji</t>
  </si>
  <si>
    <t>Koszty</t>
  </si>
  <si>
    <t>(w tys. zł)</t>
  </si>
  <si>
    <t>Zatrudnieniowa**</t>
  </si>
  <si>
    <t>Refundacja kosztów wyposażenia</t>
  </si>
  <si>
    <t>lub doposażenia miejsca pracy</t>
  </si>
  <si>
    <t>Razem 6 form AKTYWNYCH</t>
  </si>
  <si>
    <t>Razem 7 podstawowych form wg katalogu MRiPS</t>
  </si>
  <si>
    <t>w pkt. proc.</t>
  </si>
  <si>
    <t>2015=100 %</t>
  </si>
  <si>
    <t>Dofinansowanie działalności</t>
  </si>
  <si>
    <t>gospodarczej</t>
  </si>
  <si>
    <t>Refundacja kosztów</t>
  </si>
  <si>
    <t>wyposażenia</t>
  </si>
  <si>
    <t>lub doposażenia</t>
  </si>
  <si>
    <t>miejsca pracy</t>
  </si>
  <si>
    <t>Bon na</t>
  </si>
  <si>
    <t>zasiedlenie</t>
  </si>
  <si>
    <t>(do porównań)</t>
  </si>
  <si>
    <t>2021=100 %</t>
  </si>
  <si>
    <t>(w zł, średni koszt</t>
  </si>
  <si>
    <t xml:space="preserve">na 1 osobę) </t>
  </si>
  <si>
    <t>Efektywności kosztowej</t>
  </si>
  <si>
    <t>(w zł, średni na</t>
  </si>
  <si>
    <t>1 osobę)</t>
  </si>
  <si>
    <r>
      <t>(</t>
    </r>
    <r>
      <rPr>
        <b/>
        <sz val="10"/>
        <color rgb="FF000000"/>
        <rFont val="Arial"/>
        <family val="2"/>
        <charset val="238"/>
      </rPr>
      <t>w tys. zł</t>
    </r>
    <r>
      <rPr>
        <sz val="10"/>
        <color rgb="FF000000"/>
        <rFont val="Arial"/>
        <family val="2"/>
        <charset val="238"/>
      </rPr>
      <t>)</t>
    </r>
  </si>
  <si>
    <r>
      <t xml:space="preserve"> Kosztowa, WEK </t>
    </r>
    <r>
      <rPr>
        <sz val="10"/>
        <color rgb="FF000000"/>
        <rFont val="Arial"/>
        <family val="2"/>
        <charset val="238"/>
      </rPr>
      <t>*</t>
    </r>
  </si>
  <si>
    <t>Efektywność zatrudnieniowa w 2022 r.</t>
  </si>
  <si>
    <t>do 7 form</t>
  </si>
  <si>
    <t>Bezrobotni rozpoczynający aktywne formy</t>
  </si>
  <si>
    <t>Bezrobotni kończący udział w aktywnych formach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</si>
</sst>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67" x14ac:knownFonts="1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vertAlign val="superscript"/>
      <sz val="10"/>
      <name val="Arial CE"/>
      <charset val="238"/>
    </font>
    <font>
      <i/>
      <sz val="10"/>
      <name val="Arial CE"/>
      <charset val="238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bscript"/>
      <sz val="10"/>
      <color rgb="FF000000"/>
      <name val="Arial"/>
      <family val="2"/>
      <charset val="238"/>
    </font>
    <font>
      <sz val="7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1"/>
      <color rgb="FF0000FF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u/>
      <sz val="9"/>
      <color theme="10"/>
      <name val="Arial"/>
      <family val="2"/>
      <charset val="238"/>
    </font>
    <font>
      <sz val="11"/>
      <color rgb="FF000000"/>
      <name val="Arial"/>
      <family val="2"/>
      <charset val="238"/>
    </font>
    <font>
      <i/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color rgb="FF0000FF"/>
      <name val="Arial"/>
      <family val="2"/>
      <charset val="238"/>
    </font>
    <font>
      <sz val="10"/>
      <color rgb="FFFF0000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rgb="FFFFF3F3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CD"/>
        <bgColor indexed="64"/>
      </patternFill>
    </fill>
    <fill>
      <patternFill patternType="solid">
        <fgColor rgb="FFF6E7E6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5E4E3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0" tint="-0.34998626667073579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/>
      <bottom/>
      <diagonal style="mediumDashDotDot">
        <color rgb="FFEFF4F5"/>
      </diagonal>
    </border>
    <border diagonalUp="1">
      <left/>
      <right/>
      <top/>
      <bottom/>
      <diagonal style="double">
        <color theme="0" tint="-0.1499679555650502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ck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0" borderId="0">
      <alignment horizontal="left" vertical="center"/>
    </xf>
    <xf numFmtId="0" fontId="2" fillId="0" borderId="0">
      <alignment horizontal="left" vertical="center"/>
    </xf>
    <xf numFmtId="0" fontId="1" fillId="0" borderId="0">
      <alignment horizontal="left" vertical="center"/>
    </xf>
    <xf numFmtId="0" fontId="3" fillId="0" borderId="0">
      <alignment horizontal="center" vertical="center"/>
    </xf>
    <xf numFmtId="0" fontId="3" fillId="0" borderId="0">
      <alignment horizontal="center" vertical="center"/>
    </xf>
    <xf numFmtId="0" fontId="3" fillId="0" borderId="0">
      <alignment horizontal="center" vertical="center"/>
    </xf>
    <xf numFmtId="0" fontId="4" fillId="0" borderId="0">
      <alignment horizontal="right" vertical="center"/>
    </xf>
    <xf numFmtId="0" fontId="4" fillId="0" borderId="0">
      <alignment horizontal="right" vertical="center"/>
    </xf>
    <xf numFmtId="0" fontId="3" fillId="0" borderId="0">
      <alignment horizontal="center" vertical="center"/>
    </xf>
    <xf numFmtId="0" fontId="3" fillId="0" borderId="0">
      <alignment horizontal="center" vertical="center"/>
    </xf>
    <xf numFmtId="0" fontId="4" fillId="0" borderId="0">
      <alignment horizontal="center" vertical="center"/>
    </xf>
    <xf numFmtId="0" fontId="3" fillId="0" borderId="0">
      <alignment horizontal="center" vertical="center"/>
    </xf>
    <xf numFmtId="0" fontId="5" fillId="0" borderId="0">
      <alignment horizontal="right" vertical="center"/>
    </xf>
    <xf numFmtId="0" fontId="29" fillId="0" borderId="0" applyNumberFormat="0" applyFill="0" applyBorder="0" applyAlignment="0" applyProtection="0"/>
    <xf numFmtId="0" fontId="47" fillId="0" borderId="0"/>
  </cellStyleXfs>
  <cellXfs count="778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0" fillId="2" borderId="0" xfId="0" applyFill="1"/>
    <xf numFmtId="0" fontId="0" fillId="4" borderId="6" xfId="0" applyFill="1" applyBorder="1"/>
    <xf numFmtId="0" fontId="10" fillId="2" borderId="0" xfId="0" applyFont="1" applyFill="1" applyAlignment="1">
      <alignment horizontal="center" vertical="center"/>
    </xf>
    <xf numFmtId="0" fontId="20" fillId="2" borderId="1" xfId="0" quotePrefix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3" fontId="10" fillId="2" borderId="1" xfId="0" applyNumberFormat="1" applyFont="1" applyFill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quotePrefix="1" applyNumberFormat="1" applyFont="1" applyFill="1" applyBorder="1" applyAlignment="1">
      <alignment horizontal="center" vertical="center"/>
    </xf>
    <xf numFmtId="3" fontId="10" fillId="2" borderId="1" xfId="0" quotePrefix="1" applyNumberFormat="1" applyFont="1" applyFill="1" applyBorder="1" applyAlignment="1">
      <alignment horizontal="left" vertical="center"/>
    </xf>
    <xf numFmtId="165" fontId="10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/>
    <xf numFmtId="165" fontId="10" fillId="2" borderId="1" xfId="0" applyNumberFormat="1" applyFont="1" applyFill="1" applyBorder="1" applyAlignment="1">
      <alignment horizontal="left" vertical="center" wrapText="1"/>
    </xf>
    <xf numFmtId="3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/>
    <xf numFmtId="0" fontId="10" fillId="2" borderId="0" xfId="0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/>
    <xf numFmtId="0" fontId="28" fillId="2" borderId="1" xfId="0" applyFont="1" applyFill="1" applyBorder="1" applyAlignment="1">
      <alignment vertical="center" wrapText="1"/>
    </xf>
    <xf numFmtId="165" fontId="28" fillId="2" borderId="1" xfId="0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left" vertical="center"/>
    </xf>
    <xf numFmtId="3" fontId="28" fillId="2" borderId="1" xfId="0" applyNumberFormat="1" applyFont="1" applyFill="1" applyBorder="1" applyAlignment="1">
      <alignment horizontal="left" vertical="center" wrapText="1"/>
    </xf>
    <xf numFmtId="3" fontId="28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left" vertical="center"/>
    </xf>
    <xf numFmtId="165" fontId="10" fillId="2" borderId="1" xfId="0" applyNumberFormat="1" applyFont="1" applyFill="1" applyBorder="1" applyAlignment="1">
      <alignment horizontal="left" vertical="center"/>
    </xf>
    <xf numFmtId="165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3" fontId="10" fillId="2" borderId="8" xfId="0" applyNumberFormat="1" applyFont="1" applyFill="1" applyBorder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3" fontId="22" fillId="2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ill="1"/>
    <xf numFmtId="3" fontId="0" fillId="2" borderId="0" xfId="0" applyNumberForma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3" fontId="7" fillId="2" borderId="18" xfId="0" applyNumberFormat="1" applyFont="1" applyFill="1" applyBorder="1" applyAlignment="1">
      <alignment horizontal="center" vertical="center"/>
    </xf>
    <xf numFmtId="4" fontId="7" fillId="2" borderId="19" xfId="0" quotePrefix="1" applyNumberFormat="1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3" fontId="10" fillId="2" borderId="34" xfId="0" applyNumberFormat="1" applyFont="1" applyFill="1" applyBorder="1" applyAlignment="1">
      <alignment horizontal="center" vertical="center"/>
    </xf>
    <xf numFmtId="3" fontId="14" fillId="2" borderId="34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justify" vertical="center" wrapText="1"/>
    </xf>
    <xf numFmtId="0" fontId="26" fillId="2" borderId="1" xfId="0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3" fontId="9" fillId="2" borderId="36" xfId="0" applyNumberFormat="1" applyFont="1" applyFill="1" applyBorder="1" applyAlignment="1">
      <alignment horizontal="left" vertical="center"/>
    </xf>
    <xf numFmtId="0" fontId="9" fillId="2" borderId="36" xfId="0" applyFont="1" applyFill="1" applyBorder="1"/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31" fillId="2" borderId="0" xfId="0" applyFont="1" applyFill="1"/>
    <xf numFmtId="0" fontId="6" fillId="2" borderId="39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3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 wrapText="1" indent="12"/>
    </xf>
    <xf numFmtId="0" fontId="6" fillId="2" borderId="32" xfId="0" applyFont="1" applyFill="1" applyBorder="1" applyAlignment="1">
      <alignment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30" fillId="2" borderId="40" xfId="0" applyFont="1" applyFill="1" applyBorder="1" applyAlignment="1">
      <alignment horizontal="left" vertical="center" wrapText="1" indent="15"/>
    </xf>
    <xf numFmtId="0" fontId="30" fillId="2" borderId="41" xfId="0" applyFont="1" applyFill="1" applyBorder="1" applyAlignment="1">
      <alignment horizontal="left" vertical="center" wrapText="1" indent="15"/>
    </xf>
    <xf numFmtId="0" fontId="30" fillId="2" borderId="31" xfId="0" applyFont="1" applyFill="1" applyBorder="1" applyAlignment="1">
      <alignment horizontal="center" vertical="center" wrapText="1"/>
    </xf>
    <xf numFmtId="0" fontId="30" fillId="2" borderId="40" xfId="0" applyFont="1" applyFill="1" applyBorder="1" applyAlignment="1">
      <alignment vertical="center" wrapText="1"/>
    </xf>
    <xf numFmtId="0" fontId="30" fillId="2" borderId="41" xfId="0" applyFont="1" applyFill="1" applyBorder="1" applyAlignment="1">
      <alignment vertical="center" wrapText="1"/>
    </xf>
    <xf numFmtId="0" fontId="30" fillId="2" borderId="43" xfId="0" applyFont="1" applyFill="1" applyBorder="1" applyAlignment="1">
      <alignment horizontal="center" vertical="center" wrapText="1"/>
    </xf>
    <xf numFmtId="0" fontId="30" fillId="2" borderId="42" xfId="0" applyFont="1" applyFill="1" applyBorder="1" applyAlignment="1">
      <alignment horizontal="right" vertical="center" wrapText="1"/>
    </xf>
    <xf numFmtId="0" fontId="30" fillId="2" borderId="33" xfId="0" applyFont="1" applyFill="1" applyBorder="1" applyAlignment="1">
      <alignment vertical="center" wrapText="1"/>
    </xf>
    <xf numFmtId="0" fontId="30" fillId="2" borderId="30" xfId="0" applyFont="1" applyFill="1" applyBorder="1" applyAlignment="1">
      <alignment vertical="center" wrapText="1"/>
    </xf>
    <xf numFmtId="0" fontId="30" fillId="2" borderId="32" xfId="0" applyFont="1" applyFill="1" applyBorder="1" applyAlignment="1">
      <alignment horizontal="center" vertical="center" wrapText="1"/>
    </xf>
    <xf numFmtId="0" fontId="30" fillId="2" borderId="31" xfId="0" applyFont="1" applyFill="1" applyBorder="1" applyAlignment="1">
      <alignment horizontal="right" vertical="center" wrapText="1"/>
    </xf>
    <xf numFmtId="0" fontId="30" fillId="2" borderId="32" xfId="0" applyFont="1" applyFill="1" applyBorder="1" applyAlignment="1">
      <alignment vertical="center" wrapText="1"/>
    </xf>
    <xf numFmtId="0" fontId="30" fillId="2" borderId="43" xfId="0" applyFont="1" applyFill="1" applyBorder="1" applyAlignment="1">
      <alignment horizontal="right" vertical="center" wrapText="1"/>
    </xf>
    <xf numFmtId="0" fontId="30" fillId="2" borderId="0" xfId="0" applyFont="1" applyFill="1" applyAlignment="1">
      <alignment horizontal="left" vertical="center" indent="1"/>
    </xf>
    <xf numFmtId="0" fontId="33" fillId="2" borderId="0" xfId="0" applyFont="1" applyFill="1"/>
    <xf numFmtId="0" fontId="6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 indent="15"/>
    </xf>
    <xf numFmtId="0" fontId="30" fillId="2" borderId="0" xfId="0" applyFont="1" applyFill="1" applyAlignment="1">
      <alignment horizontal="left" vertical="center" indent="11"/>
    </xf>
    <xf numFmtId="0" fontId="30" fillId="2" borderId="0" xfId="0" applyFont="1" applyFill="1" applyAlignment="1">
      <alignment horizontal="left" vertical="center" indent="12"/>
    </xf>
    <xf numFmtId="0" fontId="20" fillId="2" borderId="0" xfId="0" applyFont="1" applyFill="1"/>
    <xf numFmtId="0" fontId="21" fillId="2" borderId="0" xfId="0" applyFont="1" applyFill="1" applyBorder="1" applyAlignment="1"/>
    <xf numFmtId="0" fontId="2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/>
    </xf>
    <xf numFmtId="0" fontId="22" fillId="2" borderId="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left"/>
    </xf>
    <xf numFmtId="0" fontId="25" fillId="2" borderId="22" xfId="0" applyFont="1" applyFill="1" applyBorder="1" applyAlignment="1">
      <alignment horizontal="left"/>
    </xf>
    <xf numFmtId="0" fontId="25" fillId="2" borderId="1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left"/>
    </xf>
    <xf numFmtId="0" fontId="0" fillId="2" borderId="0" xfId="0" applyFont="1" applyFill="1"/>
    <xf numFmtId="0" fontId="25" fillId="2" borderId="4" xfId="0" applyFont="1" applyFill="1" applyBorder="1" applyAlignment="1">
      <alignment horizontal="left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/>
    <xf numFmtId="0" fontId="0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35" fillId="2" borderId="0" xfId="0" applyFont="1" applyFill="1"/>
    <xf numFmtId="0" fontId="35" fillId="2" borderId="0" xfId="0" applyFont="1" applyFill="1" applyAlignment="1">
      <alignment horizontal="center" vertical="center"/>
    </xf>
    <xf numFmtId="0" fontId="35" fillId="2" borderId="18" xfId="0" applyFont="1" applyFill="1" applyBorder="1" applyAlignment="1">
      <alignment horizontal="center" vertical="center"/>
    </xf>
    <xf numFmtId="0" fontId="36" fillId="2" borderId="18" xfId="0" applyFont="1" applyFill="1" applyBorder="1" applyAlignment="1">
      <alignment vertical="center" wrapText="1"/>
    </xf>
    <xf numFmtId="3" fontId="35" fillId="2" borderId="13" xfId="0" applyNumberFormat="1" applyFont="1" applyFill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center" vertical="center"/>
    </xf>
    <xf numFmtId="3" fontId="35" fillId="2" borderId="11" xfId="0" applyNumberFormat="1" applyFont="1" applyFill="1" applyBorder="1" applyAlignment="1">
      <alignment horizontal="center" vertical="center"/>
    </xf>
    <xf numFmtId="165" fontId="35" fillId="2" borderId="13" xfId="0" applyNumberFormat="1" applyFont="1" applyFill="1" applyBorder="1" applyAlignment="1">
      <alignment horizontal="center" vertical="center"/>
    </xf>
    <xf numFmtId="165" fontId="35" fillId="2" borderId="11" xfId="0" applyNumberFormat="1" applyFont="1" applyFill="1" applyBorder="1" applyAlignment="1">
      <alignment horizontal="center" vertical="center"/>
    </xf>
    <xf numFmtId="165" fontId="35" fillId="2" borderId="29" xfId="0" applyNumberFormat="1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left" vertical="center"/>
    </xf>
    <xf numFmtId="3" fontId="37" fillId="2" borderId="0" xfId="0" applyNumberFormat="1" applyFont="1" applyFill="1" applyAlignment="1">
      <alignment horizontal="center" vertical="center"/>
    </xf>
    <xf numFmtId="165" fontId="37" fillId="2" borderId="0" xfId="0" applyNumberFormat="1" applyFont="1" applyFill="1" applyAlignment="1">
      <alignment horizontal="center" vertical="center"/>
    </xf>
    <xf numFmtId="164" fontId="37" fillId="2" borderId="0" xfId="0" applyNumberFormat="1" applyFont="1" applyFill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36" fillId="2" borderId="28" xfId="0" applyFont="1" applyFill="1" applyBorder="1" applyAlignment="1">
      <alignment vertical="center" wrapText="1"/>
    </xf>
    <xf numFmtId="3" fontId="35" fillId="2" borderId="12" xfId="0" applyNumberFormat="1" applyFont="1" applyFill="1" applyBorder="1" applyAlignment="1">
      <alignment horizontal="center" vertical="center"/>
    </xf>
    <xf numFmtId="3" fontId="35" fillId="2" borderId="4" xfId="0" applyNumberFormat="1" applyFont="1" applyFill="1" applyBorder="1" applyAlignment="1">
      <alignment horizontal="center" vertical="center"/>
    </xf>
    <xf numFmtId="3" fontId="35" fillId="2" borderId="27" xfId="0" applyNumberFormat="1" applyFont="1" applyFill="1" applyBorder="1" applyAlignment="1">
      <alignment horizontal="center" vertical="center"/>
    </xf>
    <xf numFmtId="165" fontId="35" fillId="2" borderId="12" xfId="0" applyNumberFormat="1" applyFont="1" applyFill="1" applyBorder="1" applyAlignment="1">
      <alignment horizontal="center" vertical="center"/>
    </xf>
    <xf numFmtId="165" fontId="35" fillId="2" borderId="27" xfId="0" applyNumberFormat="1" applyFont="1" applyFill="1" applyBorder="1" applyAlignment="1">
      <alignment horizontal="center" vertical="center"/>
    </xf>
    <xf numFmtId="165" fontId="35" fillId="2" borderId="20" xfId="0" applyNumberFormat="1" applyFont="1" applyFill="1" applyBorder="1" applyAlignment="1">
      <alignment horizontal="center" vertical="center"/>
    </xf>
    <xf numFmtId="0" fontId="35" fillId="2" borderId="50" xfId="0" applyFont="1" applyFill="1" applyBorder="1" applyAlignment="1">
      <alignment horizontal="center" vertical="center"/>
    </xf>
    <xf numFmtId="0" fontId="36" fillId="2" borderId="50" xfId="0" applyFont="1" applyFill="1" applyBorder="1" applyAlignment="1">
      <alignment vertical="center" wrapText="1"/>
    </xf>
    <xf numFmtId="3" fontId="35" fillId="2" borderId="51" xfId="0" applyNumberFormat="1" applyFont="1" applyFill="1" applyBorder="1" applyAlignment="1">
      <alignment horizontal="center" vertical="center"/>
    </xf>
    <xf numFmtId="3" fontId="35" fillId="2" borderId="5" xfId="0" applyNumberFormat="1" applyFont="1" applyFill="1" applyBorder="1" applyAlignment="1">
      <alignment horizontal="center" vertical="center"/>
    </xf>
    <xf numFmtId="3" fontId="35" fillId="2" borderId="52" xfId="0" applyNumberFormat="1" applyFont="1" applyFill="1" applyBorder="1" applyAlignment="1">
      <alignment horizontal="center" vertical="center"/>
    </xf>
    <xf numFmtId="165" fontId="35" fillId="2" borderId="51" xfId="0" applyNumberFormat="1" applyFont="1" applyFill="1" applyBorder="1" applyAlignment="1">
      <alignment horizontal="center" vertical="center"/>
    </xf>
    <xf numFmtId="165" fontId="35" fillId="2" borderId="52" xfId="0" applyNumberFormat="1" applyFont="1" applyFill="1" applyBorder="1" applyAlignment="1">
      <alignment horizontal="center" vertical="center"/>
    </xf>
    <xf numFmtId="165" fontId="35" fillId="2" borderId="53" xfId="0" applyNumberFormat="1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3" fontId="38" fillId="2" borderId="0" xfId="0" applyNumberFormat="1" applyFont="1" applyFill="1" applyAlignment="1">
      <alignment horizontal="left" vertical="center"/>
    </xf>
    <xf numFmtId="0" fontId="37" fillId="2" borderId="0" xfId="0" applyFont="1" applyFill="1"/>
    <xf numFmtId="0" fontId="20" fillId="2" borderId="1" xfId="0" applyFont="1" applyFill="1" applyBorder="1" applyAlignment="1">
      <alignment horizontal="left" vertical="center" wrapText="1"/>
    </xf>
    <xf numFmtId="0" fontId="0" fillId="7" borderId="0" xfId="0" applyFill="1" applyAlignment="1">
      <alignment horizontal="center" vertical="center"/>
    </xf>
    <xf numFmtId="164" fontId="0" fillId="7" borderId="0" xfId="0" applyNumberFormat="1" applyFill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left" vertical="center"/>
    </xf>
    <xf numFmtId="3" fontId="10" fillId="0" borderId="1" xfId="0" quotePrefix="1" applyNumberFormat="1" applyFont="1" applyFill="1" applyBorder="1" applyAlignment="1">
      <alignment horizontal="left" vertical="center"/>
    </xf>
    <xf numFmtId="3" fontId="10" fillId="0" borderId="1" xfId="0" quotePrefix="1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/>
    <xf numFmtId="164" fontId="22" fillId="2" borderId="0" xfId="0" applyNumberFormat="1" applyFont="1" applyFill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43" fillId="2" borderId="0" xfId="0" applyFont="1" applyFill="1"/>
    <xf numFmtId="0" fontId="41" fillId="2" borderId="61" xfId="0" applyFont="1" applyFill="1" applyBorder="1" applyAlignment="1">
      <alignment horizontal="center" vertical="center" wrapText="1"/>
    </xf>
    <xf numFmtId="0" fontId="41" fillId="2" borderId="17" xfId="0" applyFont="1" applyFill="1" applyBorder="1" applyAlignment="1">
      <alignment horizontal="center" vertical="center" wrapText="1"/>
    </xf>
    <xf numFmtId="0" fontId="41" fillId="2" borderId="17" xfId="0" applyFont="1" applyFill="1" applyBorder="1" applyAlignment="1">
      <alignment horizontal="left" vertical="center" wrapText="1"/>
    </xf>
    <xf numFmtId="0" fontId="41" fillId="2" borderId="61" xfId="0" applyFont="1" applyFill="1" applyBorder="1" applyAlignment="1">
      <alignment horizontal="left" vertical="center" wrapText="1"/>
    </xf>
    <xf numFmtId="0" fontId="22" fillId="2" borderId="17" xfId="0" applyFont="1" applyFill="1" applyBorder="1" applyAlignment="1">
      <alignment horizontal="center" wrapText="1"/>
    </xf>
    <xf numFmtId="0" fontId="41" fillId="2" borderId="62" xfId="0" applyFont="1" applyFill="1" applyBorder="1" applyAlignment="1">
      <alignment horizontal="left" vertical="center" wrapText="1"/>
    </xf>
    <xf numFmtId="0" fontId="22" fillId="2" borderId="62" xfId="0" applyFont="1" applyFill="1" applyBorder="1" applyAlignment="1">
      <alignment wrapText="1"/>
    </xf>
    <xf numFmtId="0" fontId="22" fillId="2" borderId="62" xfId="0" applyFont="1" applyFill="1" applyBorder="1" applyAlignment="1">
      <alignment vertical="top" wrapText="1"/>
    </xf>
    <xf numFmtId="0" fontId="22" fillId="2" borderId="66" xfId="0" applyFont="1" applyFill="1" applyBorder="1" applyAlignment="1">
      <alignment wrapText="1"/>
    </xf>
    <xf numFmtId="0" fontId="41" fillId="2" borderId="62" xfId="0" applyFont="1" applyFill="1" applyBorder="1" applyAlignment="1">
      <alignment horizontal="center" vertical="center" wrapText="1"/>
    </xf>
    <xf numFmtId="0" fontId="41" fillId="2" borderId="66" xfId="0" applyFont="1" applyFill="1" applyBorder="1" applyAlignment="1">
      <alignment horizontal="center" vertical="center" wrapText="1"/>
    </xf>
    <xf numFmtId="0" fontId="41" fillId="2" borderId="68" xfId="0" applyFont="1" applyFill="1" applyBorder="1" applyAlignment="1">
      <alignment horizontal="justify" vertical="center" wrapText="1"/>
    </xf>
    <xf numFmtId="0" fontId="41" fillId="2" borderId="72" xfId="0" applyFont="1" applyFill="1" applyBorder="1" applyAlignment="1">
      <alignment horizontal="center" vertical="center" wrapText="1"/>
    </xf>
    <xf numFmtId="0" fontId="41" fillId="2" borderId="31" xfId="0" applyFont="1" applyFill="1" applyBorder="1" applyAlignment="1">
      <alignment horizontal="center" vertical="center" wrapText="1"/>
    </xf>
    <xf numFmtId="0" fontId="41" fillId="2" borderId="73" xfId="0" applyFont="1" applyFill="1" applyBorder="1" applyAlignment="1">
      <alignment vertical="center" wrapText="1"/>
    </xf>
    <xf numFmtId="0" fontId="41" fillId="2" borderId="64" xfId="0" applyFont="1" applyFill="1" applyBorder="1" applyAlignment="1">
      <alignment horizontal="right" vertical="center" wrapText="1"/>
    </xf>
    <xf numFmtId="0" fontId="41" fillId="2" borderId="74" xfId="0" applyFont="1" applyFill="1" applyBorder="1" applyAlignment="1">
      <alignment vertical="center" wrapText="1"/>
    </xf>
    <xf numFmtId="0" fontId="41" fillId="2" borderId="31" xfId="0" applyFont="1" applyFill="1" applyBorder="1" applyAlignment="1">
      <alignment horizontal="right" vertical="center" wrapText="1"/>
    </xf>
    <xf numFmtId="0" fontId="42" fillId="2" borderId="0" xfId="0" applyFont="1" applyFill="1" applyAlignment="1">
      <alignment horizontal="left" vertical="center" indent="1"/>
    </xf>
    <xf numFmtId="3" fontId="22" fillId="2" borderId="0" xfId="0" applyNumberFormat="1" applyFont="1" applyFill="1" applyAlignment="1">
      <alignment horizontal="center" vertical="center"/>
    </xf>
    <xf numFmtId="165" fontId="22" fillId="2" borderId="0" xfId="0" applyNumberFormat="1" applyFont="1" applyFill="1" applyAlignment="1">
      <alignment horizontal="center" vertical="center"/>
    </xf>
    <xf numFmtId="0" fontId="30" fillId="2" borderId="0" xfId="0" applyFont="1" applyFill="1"/>
    <xf numFmtId="0" fontId="49" fillId="2" borderId="1" xfId="15" applyFont="1" applyFill="1" applyBorder="1" applyAlignment="1">
      <alignment horizontal="left" vertical="center"/>
    </xf>
    <xf numFmtId="0" fontId="49" fillId="2" borderId="1" xfId="15" applyFont="1" applyFill="1" applyBorder="1" applyAlignment="1">
      <alignment horizontal="left" vertical="center" wrapText="1"/>
    </xf>
    <xf numFmtId="0" fontId="49" fillId="2" borderId="0" xfId="15" applyFont="1" applyFill="1"/>
    <xf numFmtId="0" fontId="48" fillId="2" borderId="0" xfId="15" applyFont="1" applyFill="1" applyBorder="1" applyAlignment="1"/>
    <xf numFmtId="0" fontId="49" fillId="2" borderId="1" xfId="15" applyFont="1" applyFill="1" applyBorder="1" applyAlignment="1">
      <alignment horizontal="center" vertical="center" wrapText="1"/>
    </xf>
    <xf numFmtId="0" fontId="49" fillId="2" borderId="1" xfId="15" quotePrefix="1" applyFont="1" applyFill="1" applyBorder="1" applyAlignment="1">
      <alignment horizontal="center" vertical="center"/>
    </xf>
    <xf numFmtId="0" fontId="49" fillId="2" borderId="1" xfId="15" applyFont="1" applyFill="1" applyBorder="1" applyAlignment="1">
      <alignment vertical="center"/>
    </xf>
    <xf numFmtId="0" fontId="49" fillId="2" borderId="8" xfId="15" applyFont="1" applyFill="1" applyBorder="1" applyAlignment="1">
      <alignment horizontal="center" vertical="center" wrapText="1"/>
    </xf>
    <xf numFmtId="0" fontId="49" fillId="2" borderId="3" xfId="15" applyFont="1" applyFill="1" applyBorder="1" applyAlignment="1">
      <alignment horizontal="center" vertical="center" wrapText="1"/>
    </xf>
    <xf numFmtId="0" fontId="51" fillId="2" borderId="2" xfId="15" applyFont="1" applyFill="1" applyBorder="1" applyAlignment="1">
      <alignment horizontal="left"/>
    </xf>
    <xf numFmtId="0" fontId="51" fillId="2" borderId="22" xfId="15" applyFont="1" applyFill="1" applyBorder="1" applyAlignment="1">
      <alignment horizontal="left"/>
    </xf>
    <xf numFmtId="0" fontId="51" fillId="2" borderId="1" xfId="15" applyFont="1" applyFill="1" applyBorder="1" applyAlignment="1">
      <alignment horizontal="left"/>
    </xf>
    <xf numFmtId="0" fontId="51" fillId="2" borderId="0" xfId="15" applyFont="1" applyFill="1" applyBorder="1" applyAlignment="1">
      <alignment horizontal="left"/>
    </xf>
    <xf numFmtId="0" fontId="51" fillId="2" borderId="4" xfId="15" applyFont="1" applyFill="1" applyBorder="1" applyAlignment="1">
      <alignment horizontal="left"/>
    </xf>
    <xf numFmtId="0" fontId="49" fillId="2" borderId="0" xfId="15" applyFont="1" applyFill="1" applyAlignment="1">
      <alignment horizontal="center"/>
    </xf>
    <xf numFmtId="0" fontId="49" fillId="2" borderId="0" xfId="15" applyFont="1" applyFill="1" applyAlignment="1"/>
    <xf numFmtId="0" fontId="49" fillId="2" borderId="0" xfId="15" applyFont="1" applyFill="1" applyAlignment="1">
      <alignment vertical="center"/>
    </xf>
    <xf numFmtId="164" fontId="35" fillId="3" borderId="0" xfId="0" applyNumberFormat="1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164" fontId="35" fillId="2" borderId="0" xfId="0" applyNumberFormat="1" applyFont="1" applyFill="1" applyAlignment="1">
      <alignment horizontal="center" vertical="center"/>
    </xf>
    <xf numFmtId="0" fontId="35" fillId="0" borderId="0" xfId="0" applyFont="1"/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164" fontId="35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7" borderId="0" xfId="0" applyFont="1" applyFill="1" applyAlignment="1">
      <alignment horizontal="center" vertical="center"/>
    </xf>
    <xf numFmtId="164" fontId="35" fillId="7" borderId="0" xfId="0" applyNumberFormat="1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/>
    </xf>
    <xf numFmtId="0" fontId="35" fillId="0" borderId="0" xfId="0" applyFont="1" applyFill="1"/>
    <xf numFmtId="1" fontId="35" fillId="0" borderId="0" xfId="0" applyNumberFormat="1" applyFont="1" applyFill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5" fontId="10" fillId="8" borderId="1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left" vertical="center"/>
    </xf>
    <xf numFmtId="3" fontId="10" fillId="8" borderId="1" xfId="0" applyNumberFormat="1" applyFont="1" applyFill="1" applyBorder="1" applyAlignment="1">
      <alignment horizontal="left" vertical="center"/>
    </xf>
    <xf numFmtId="3" fontId="10" fillId="8" borderId="1" xfId="0" quotePrefix="1" applyNumberFormat="1" applyFont="1" applyFill="1" applyBorder="1" applyAlignment="1">
      <alignment horizontal="left" vertical="center"/>
    </xf>
    <xf numFmtId="3" fontId="28" fillId="8" borderId="1" xfId="0" applyNumberFormat="1" applyFont="1" applyFill="1" applyBorder="1" applyAlignment="1">
      <alignment horizontal="left" vertical="center" wrapText="1"/>
    </xf>
    <xf numFmtId="165" fontId="28" fillId="8" borderId="1" xfId="0" applyNumberFormat="1" applyFont="1" applyFill="1" applyBorder="1" applyAlignment="1">
      <alignment horizontal="center" vertical="center" wrapText="1"/>
    </xf>
    <xf numFmtId="3" fontId="28" fillId="8" borderId="1" xfId="0" applyNumberFormat="1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vertical="center" wrapText="1"/>
    </xf>
    <xf numFmtId="164" fontId="0" fillId="2" borderId="0" xfId="0" applyNumberFormat="1" applyFill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30" fillId="2" borderId="0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left" vertical="center"/>
    </xf>
    <xf numFmtId="0" fontId="49" fillId="5" borderId="1" xfId="0" applyFont="1" applyFill="1" applyBorder="1" applyAlignment="1">
      <alignment horizontal="justify" vertical="center" wrapText="1"/>
    </xf>
    <xf numFmtId="164" fontId="42" fillId="2" borderId="1" xfId="0" applyNumberFormat="1" applyFont="1" applyFill="1" applyBorder="1" applyAlignment="1">
      <alignment horizontal="center" vertical="center" wrapText="1"/>
    </xf>
    <xf numFmtId="0" fontId="30" fillId="2" borderId="0" xfId="0" applyFont="1" applyFill="1" applyBorder="1"/>
    <xf numFmtId="165" fontId="42" fillId="2" borderId="1" xfId="0" applyNumberFormat="1" applyFont="1" applyFill="1" applyBorder="1" applyAlignment="1">
      <alignment horizontal="center" vertical="center" wrapText="1"/>
    </xf>
    <xf numFmtId="165" fontId="30" fillId="2" borderId="1" xfId="0" applyNumberFormat="1" applyFont="1" applyFill="1" applyBorder="1" applyAlignment="1">
      <alignment horizontal="center" vertical="center"/>
    </xf>
    <xf numFmtId="165" fontId="30" fillId="2" borderId="0" xfId="0" applyNumberFormat="1" applyFont="1" applyFill="1" applyBorder="1" applyAlignment="1">
      <alignment horizontal="center" vertical="center"/>
    </xf>
    <xf numFmtId="165" fontId="42" fillId="2" borderId="0" xfId="0" applyNumberFormat="1" applyFont="1" applyFill="1" applyBorder="1" applyAlignment="1">
      <alignment horizontal="center" vertical="center" wrapText="1"/>
    </xf>
    <xf numFmtId="165" fontId="32" fillId="2" borderId="0" xfId="0" applyNumberFormat="1" applyFont="1" applyFill="1" applyBorder="1" applyAlignment="1">
      <alignment horizontal="center" vertical="center"/>
    </xf>
    <xf numFmtId="165" fontId="52" fillId="2" borderId="0" xfId="0" applyNumberFormat="1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vertical="center" wrapText="1"/>
    </xf>
    <xf numFmtId="0" fontId="49" fillId="2" borderId="1" xfId="0" applyFont="1" applyFill="1" applyBorder="1" applyAlignment="1">
      <alignment horizontal="justify" vertical="center" wrapText="1"/>
    </xf>
    <xf numFmtId="165" fontId="9" fillId="2" borderId="0" xfId="0" applyNumberFormat="1" applyFont="1" applyFill="1"/>
    <xf numFmtId="0" fontId="30" fillId="2" borderId="0" xfId="0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14" fillId="2" borderId="1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/>
    <xf numFmtId="0" fontId="12" fillId="2" borderId="0" xfId="0" applyFont="1" applyFill="1"/>
    <xf numFmtId="3" fontId="6" fillId="2" borderId="0" xfId="0" applyNumberFormat="1" applyFont="1" applyFill="1" applyAlignment="1">
      <alignment horizontal="left" vertical="center" wrapText="1"/>
    </xf>
    <xf numFmtId="3" fontId="10" fillId="2" borderId="36" xfId="0" applyNumberFormat="1" applyFont="1" applyFill="1" applyBorder="1" applyAlignment="1">
      <alignment horizontal="left" vertical="center"/>
    </xf>
    <xf numFmtId="3" fontId="7" fillId="2" borderId="3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5" fillId="10" borderId="0" xfId="0" applyFont="1" applyFill="1" applyAlignment="1">
      <alignment horizontal="center" vertical="center"/>
    </xf>
    <xf numFmtId="164" fontId="35" fillId="10" borderId="0" xfId="0" applyNumberFormat="1" applyFont="1" applyFill="1" applyAlignment="1">
      <alignment horizontal="center" vertical="center"/>
    </xf>
    <xf numFmtId="164" fontId="0" fillId="10" borderId="0" xfId="0" applyNumberForma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49" fillId="2" borderId="0" xfId="0" applyFont="1" applyFill="1" applyBorder="1" applyAlignment="1">
      <alignment horizontal="justify" vertical="center" wrapText="1"/>
    </xf>
    <xf numFmtId="0" fontId="42" fillId="2" borderId="0" xfId="0" applyFont="1" applyFill="1" applyBorder="1" applyAlignment="1">
      <alignment horizontal="center" vertical="center" wrapText="1"/>
    </xf>
    <xf numFmtId="164" fontId="42" fillId="2" borderId="0" xfId="0" applyNumberFormat="1" applyFont="1" applyFill="1" applyBorder="1" applyAlignment="1">
      <alignment horizontal="center" vertical="center" wrapText="1"/>
    </xf>
    <xf numFmtId="164" fontId="10" fillId="8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/>
    <xf numFmtId="3" fontId="10" fillId="8" borderId="1" xfId="0" applyNumberFormat="1" applyFont="1" applyFill="1" applyBorder="1" applyAlignment="1">
      <alignment horizontal="center" vertical="center"/>
    </xf>
    <xf numFmtId="164" fontId="10" fillId="8" borderId="4" xfId="0" applyNumberFormat="1" applyFont="1" applyFill="1" applyBorder="1" applyAlignment="1">
      <alignment horizontal="center" vertical="center"/>
    </xf>
    <xf numFmtId="3" fontId="10" fillId="8" borderId="4" xfId="0" applyNumberFormat="1" applyFont="1" applyFill="1" applyBorder="1" applyAlignment="1">
      <alignment horizontal="center" vertical="center"/>
    </xf>
    <xf numFmtId="0" fontId="10" fillId="8" borderId="0" xfId="0" applyFont="1" applyFill="1"/>
    <xf numFmtId="0" fontId="9" fillId="8" borderId="0" xfId="0" applyFont="1" applyFill="1"/>
    <xf numFmtId="0" fontId="54" fillId="2" borderId="0" xfId="0" applyFont="1" applyFill="1"/>
    <xf numFmtId="0" fontId="54" fillId="2" borderId="0" xfId="0" applyFont="1" applyFill="1" applyAlignment="1">
      <alignment horizontal="center" vertical="center"/>
    </xf>
    <xf numFmtId="0" fontId="54" fillId="2" borderId="1" xfId="0" applyFont="1" applyFill="1" applyBorder="1" applyAlignment="1">
      <alignment horizontal="center" vertical="center"/>
    </xf>
    <xf numFmtId="3" fontId="54" fillId="2" borderId="1" xfId="0" applyNumberFormat="1" applyFont="1" applyFill="1" applyBorder="1" applyAlignment="1">
      <alignment horizontal="center" vertical="center"/>
    </xf>
    <xf numFmtId="164" fontId="54" fillId="2" borderId="0" xfId="0" applyNumberFormat="1" applyFont="1" applyFill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5" fillId="5" borderId="1" xfId="0" applyFont="1" applyFill="1" applyBorder="1" applyAlignment="1">
      <alignment horizontal="center" vertical="center"/>
    </xf>
    <xf numFmtId="164" fontId="55" fillId="0" borderId="1" xfId="0" applyNumberFormat="1" applyFont="1" applyBorder="1" applyAlignment="1">
      <alignment horizontal="center" vertical="center"/>
    </xf>
    <xf numFmtId="0" fontId="54" fillId="2" borderId="0" xfId="0" applyFont="1" applyFill="1" applyAlignment="1">
      <alignment horizontal="left" vertical="center"/>
    </xf>
    <xf numFmtId="166" fontId="54" fillId="0" borderId="1" xfId="0" applyNumberFormat="1" applyFont="1" applyBorder="1" applyAlignment="1">
      <alignment horizontal="center" vertical="center" wrapText="1"/>
    </xf>
    <xf numFmtId="166" fontId="54" fillId="2" borderId="1" xfId="0" applyNumberFormat="1" applyFont="1" applyFill="1" applyBorder="1" applyAlignment="1">
      <alignment horizontal="center" vertical="center"/>
    </xf>
    <xf numFmtId="164" fontId="56" fillId="2" borderId="1" xfId="0" applyNumberFormat="1" applyFont="1" applyFill="1" applyBorder="1" applyAlignment="1">
      <alignment horizontal="center" vertical="center" wrapText="1"/>
    </xf>
    <xf numFmtId="1" fontId="0" fillId="2" borderId="0" xfId="0" applyNumberFormat="1" applyFill="1" applyBorder="1" applyAlignment="1">
      <alignment horizontal="center" vertical="center"/>
    </xf>
    <xf numFmtId="3" fontId="57" fillId="2" borderId="11" xfId="0" applyNumberFormat="1" applyFont="1" applyFill="1" applyBorder="1" applyAlignment="1">
      <alignment horizontal="center" vertical="center"/>
    </xf>
    <xf numFmtId="3" fontId="57" fillId="2" borderId="52" xfId="0" applyNumberFormat="1" applyFont="1" applyFill="1" applyBorder="1" applyAlignment="1">
      <alignment horizontal="center" vertical="center"/>
    </xf>
    <xf numFmtId="4" fontId="35" fillId="2" borderId="12" xfId="0" applyNumberFormat="1" applyFont="1" applyFill="1" applyBorder="1" applyAlignment="1">
      <alignment horizontal="center" vertical="center"/>
    </xf>
    <xf numFmtId="4" fontId="35" fillId="2" borderId="13" xfId="0" applyNumberFormat="1" applyFont="1" applyFill="1" applyBorder="1" applyAlignment="1">
      <alignment horizontal="center" vertical="center"/>
    </xf>
    <xf numFmtId="4" fontId="35" fillId="2" borderId="51" xfId="0" applyNumberFormat="1" applyFont="1" applyFill="1" applyBorder="1" applyAlignment="1">
      <alignment horizontal="center" vertical="center"/>
    </xf>
    <xf numFmtId="165" fontId="35" fillId="2" borderId="0" xfId="0" applyNumberFormat="1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164" fontId="10" fillId="2" borderId="0" xfId="0" applyNumberFormat="1" applyFont="1" applyFill="1"/>
    <xf numFmtId="2" fontId="10" fillId="2" borderId="1" xfId="0" applyNumberFormat="1" applyFont="1" applyFill="1" applyBorder="1" applyAlignment="1">
      <alignment horizontal="center" vertical="center"/>
    </xf>
    <xf numFmtId="2" fontId="10" fillId="8" borderId="1" xfId="0" applyNumberFormat="1" applyFont="1" applyFill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0" fontId="46" fillId="2" borderId="32" xfId="0" applyFont="1" applyFill="1" applyBorder="1" applyAlignment="1">
      <alignment horizontal="left" vertical="center" wrapText="1"/>
    </xf>
    <xf numFmtId="165" fontId="46" fillId="2" borderId="31" xfId="0" applyNumberFormat="1" applyFont="1" applyFill="1" applyBorder="1" applyAlignment="1">
      <alignment horizontal="center" vertical="center"/>
    </xf>
    <xf numFmtId="165" fontId="46" fillId="2" borderId="43" xfId="0" applyNumberFormat="1" applyFont="1" applyFill="1" applyBorder="1" applyAlignment="1">
      <alignment horizontal="center" vertical="center" wrapText="1"/>
    </xf>
    <xf numFmtId="165" fontId="46" fillId="2" borderId="30" xfId="0" applyNumberFormat="1" applyFont="1" applyFill="1" applyBorder="1" applyAlignment="1">
      <alignment horizontal="center" vertical="center" wrapText="1"/>
    </xf>
    <xf numFmtId="165" fontId="46" fillId="2" borderId="32" xfId="0" applyNumberFormat="1" applyFont="1" applyFill="1" applyBorder="1" applyAlignment="1">
      <alignment horizontal="center" vertical="center" wrapText="1"/>
    </xf>
    <xf numFmtId="165" fontId="46" fillId="2" borderId="32" xfId="0" applyNumberFormat="1" applyFont="1" applyFill="1" applyBorder="1" applyAlignment="1">
      <alignment horizontal="center" vertical="center"/>
    </xf>
    <xf numFmtId="0" fontId="58" fillId="2" borderId="32" xfId="0" applyFont="1" applyFill="1" applyBorder="1" applyAlignment="1">
      <alignment horizontal="left" vertical="center" wrapText="1"/>
    </xf>
    <xf numFmtId="165" fontId="58" fillId="2" borderId="31" xfId="0" applyNumberFormat="1" applyFont="1" applyFill="1" applyBorder="1" applyAlignment="1">
      <alignment horizontal="center" vertical="center"/>
    </xf>
    <xf numFmtId="165" fontId="58" fillId="2" borderId="32" xfId="0" applyNumberFormat="1" applyFont="1" applyFill="1" applyBorder="1" applyAlignment="1">
      <alignment horizontal="center" vertical="center" wrapText="1"/>
    </xf>
    <xf numFmtId="165" fontId="58" fillId="2" borderId="30" xfId="0" applyNumberFormat="1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left" vertical="center" wrapText="1"/>
    </xf>
    <xf numFmtId="165" fontId="37" fillId="2" borderId="30" xfId="0" applyNumberFormat="1" applyFont="1" applyFill="1" applyBorder="1" applyAlignment="1">
      <alignment vertical="center"/>
    </xf>
    <xf numFmtId="165" fontId="37" fillId="2" borderId="41" xfId="0" applyNumberFormat="1" applyFont="1" applyFill="1" applyBorder="1" applyAlignment="1">
      <alignment vertical="center"/>
    </xf>
    <xf numFmtId="165" fontId="46" fillId="2" borderId="41" xfId="0" applyNumberFormat="1" applyFont="1" applyFill="1" applyBorder="1" applyAlignment="1">
      <alignment horizontal="center" vertical="center" wrapText="1"/>
    </xf>
    <xf numFmtId="0" fontId="39" fillId="2" borderId="32" xfId="0" applyFont="1" applyFill="1" applyBorder="1" applyAlignment="1">
      <alignment horizontal="left" vertical="center" wrapText="1"/>
    </xf>
    <xf numFmtId="165" fontId="39" fillId="2" borderId="31" xfId="0" applyNumberFormat="1" applyFont="1" applyFill="1" applyBorder="1" applyAlignment="1">
      <alignment horizontal="center" vertical="center"/>
    </xf>
    <xf numFmtId="165" fontId="39" fillId="2" borderId="30" xfId="0" applyNumberFormat="1" applyFont="1" applyFill="1" applyBorder="1" applyAlignment="1">
      <alignment horizontal="center" vertical="center" wrapText="1"/>
    </xf>
    <xf numFmtId="165" fontId="39" fillId="2" borderId="32" xfId="0" applyNumberFormat="1" applyFont="1" applyFill="1" applyBorder="1" applyAlignment="1">
      <alignment horizontal="center" vertical="center" wrapText="1"/>
    </xf>
    <xf numFmtId="0" fontId="60" fillId="2" borderId="0" xfId="14" applyFont="1" applyFill="1" applyAlignment="1">
      <alignment horizontal="justify" vertical="center"/>
    </xf>
    <xf numFmtId="0" fontId="20" fillId="2" borderId="1" xfId="0" applyFont="1" applyFill="1" applyBorder="1" applyAlignment="1">
      <alignment horizontal="left" vertical="center" wrapText="1"/>
    </xf>
    <xf numFmtId="0" fontId="37" fillId="12" borderId="14" xfId="0" applyFont="1" applyFill="1" applyBorder="1"/>
    <xf numFmtId="0" fontId="37" fillId="12" borderId="9" xfId="0" applyFont="1" applyFill="1" applyBorder="1" applyAlignment="1">
      <alignment horizontal="center" vertical="center"/>
    </xf>
    <xf numFmtId="0" fontId="37" fillId="12" borderId="24" xfId="0" applyFont="1" applyFill="1" applyBorder="1" applyAlignment="1">
      <alignment horizontal="center" vertical="center"/>
    </xf>
    <xf numFmtId="0" fontId="37" fillId="12" borderId="25" xfId="0" applyFont="1" applyFill="1" applyBorder="1" applyAlignment="1">
      <alignment horizontal="center" vertical="center"/>
    </xf>
    <xf numFmtId="0" fontId="37" fillId="12" borderId="16" xfId="0" applyFont="1" applyFill="1" applyBorder="1" applyAlignment="1">
      <alignment horizontal="center" vertical="center"/>
    </xf>
    <xf numFmtId="0" fontId="37" fillId="12" borderId="15" xfId="0" applyFont="1" applyFill="1" applyBorder="1"/>
    <xf numFmtId="0" fontId="37" fillId="12" borderId="10" xfId="0" applyFont="1" applyFill="1" applyBorder="1" applyAlignment="1">
      <alignment horizontal="center" vertical="center" wrapText="1"/>
    </xf>
    <xf numFmtId="0" fontId="37" fillId="12" borderId="21" xfId="0" applyFont="1" applyFill="1" applyBorder="1" applyAlignment="1">
      <alignment horizontal="center" vertical="center" wrapText="1"/>
    </xf>
    <xf numFmtId="0" fontId="37" fillId="12" borderId="26" xfId="0" applyFont="1" applyFill="1" applyBorder="1" applyAlignment="1">
      <alignment horizontal="center" vertical="center" wrapText="1"/>
    </xf>
    <xf numFmtId="0" fontId="39" fillId="12" borderId="10" xfId="0" applyFont="1" applyFill="1" applyBorder="1" applyAlignment="1">
      <alignment horizontal="center" vertical="center" wrapText="1"/>
    </xf>
    <xf numFmtId="3" fontId="37" fillId="12" borderId="10" xfId="0" applyNumberFormat="1" applyFont="1" applyFill="1" applyBorder="1" applyAlignment="1">
      <alignment horizontal="center" vertical="center" wrapText="1"/>
    </xf>
    <xf numFmtId="0" fontId="37" fillId="12" borderId="17" xfId="0" applyFont="1" applyFill="1" applyBorder="1" applyAlignment="1">
      <alignment horizontal="center" vertical="center" wrapText="1"/>
    </xf>
    <xf numFmtId="0" fontId="37" fillId="12" borderId="15" xfId="0" applyFont="1" applyFill="1" applyBorder="1" applyAlignment="1">
      <alignment horizontal="center" vertical="center"/>
    </xf>
    <xf numFmtId="0" fontId="37" fillId="12" borderId="10" xfId="0" applyFont="1" applyFill="1" applyBorder="1" applyAlignment="1">
      <alignment horizontal="center" vertical="center"/>
    </xf>
    <xf numFmtId="0" fontId="37" fillId="12" borderId="32" xfId="0" applyFont="1" applyFill="1" applyBorder="1"/>
    <xf numFmtId="0" fontId="37" fillId="12" borderId="47" xfId="0" applyFont="1" applyFill="1" applyBorder="1" applyAlignment="1">
      <alignment horizontal="center" vertical="center"/>
    </xf>
    <xf numFmtId="0" fontId="37" fillId="12" borderId="48" xfId="0" applyFont="1" applyFill="1" applyBorder="1" applyAlignment="1">
      <alignment horizontal="center" vertical="center"/>
    </xf>
    <xf numFmtId="0" fontId="37" fillId="12" borderId="49" xfId="0" applyFont="1" applyFill="1" applyBorder="1" applyAlignment="1">
      <alignment horizontal="center" vertical="center"/>
    </xf>
    <xf numFmtId="0" fontId="37" fillId="12" borderId="31" xfId="0" applyFont="1" applyFill="1" applyBorder="1" applyAlignment="1">
      <alignment horizontal="center" vertical="center"/>
    </xf>
    <xf numFmtId="0" fontId="35" fillId="12" borderId="43" xfId="0" quotePrefix="1" applyFont="1" applyFill="1" applyBorder="1" applyAlignment="1">
      <alignment horizontal="center" vertical="center"/>
    </xf>
    <xf numFmtId="0" fontId="36" fillId="12" borderId="43" xfId="0" applyFont="1" applyFill="1" applyBorder="1" applyAlignment="1">
      <alignment vertical="center" wrapText="1"/>
    </xf>
    <xf numFmtId="3" fontId="35" fillId="12" borderId="54" xfId="0" applyNumberFormat="1" applyFont="1" applyFill="1" applyBorder="1" applyAlignment="1">
      <alignment horizontal="center" vertical="center"/>
    </xf>
    <xf numFmtId="3" fontId="35" fillId="12" borderId="55" xfId="0" applyNumberFormat="1" applyFont="1" applyFill="1" applyBorder="1" applyAlignment="1">
      <alignment horizontal="center" vertical="center"/>
    </xf>
    <xf numFmtId="3" fontId="35" fillId="12" borderId="56" xfId="0" applyNumberFormat="1" applyFont="1" applyFill="1" applyBorder="1" applyAlignment="1">
      <alignment horizontal="center" vertical="center"/>
    </xf>
    <xf numFmtId="165" fontId="35" fillId="12" borderId="54" xfId="0" applyNumberFormat="1" applyFont="1" applyFill="1" applyBorder="1" applyAlignment="1">
      <alignment horizontal="center" vertical="center"/>
    </xf>
    <xf numFmtId="165" fontId="35" fillId="12" borderId="56" xfId="0" applyNumberFormat="1" applyFont="1" applyFill="1" applyBorder="1" applyAlignment="1">
      <alignment horizontal="center" vertical="center"/>
    </xf>
    <xf numFmtId="4" fontId="35" fillId="12" borderId="54" xfId="0" applyNumberFormat="1" applyFont="1" applyFill="1" applyBorder="1" applyAlignment="1">
      <alignment horizontal="center" vertical="center"/>
    </xf>
    <xf numFmtId="165" fontId="35" fillId="12" borderId="42" xfId="0" applyNumberFormat="1" applyFont="1" applyFill="1" applyBorder="1" applyAlignment="1">
      <alignment horizontal="center" vertical="center"/>
    </xf>
    <xf numFmtId="4" fontId="35" fillId="12" borderId="56" xfId="0" applyNumberFormat="1" applyFont="1" applyFill="1" applyBorder="1" applyAlignment="1">
      <alignment horizontal="center" vertical="center"/>
    </xf>
    <xf numFmtId="4" fontId="35" fillId="12" borderId="42" xfId="0" applyNumberFormat="1" applyFont="1" applyFill="1" applyBorder="1" applyAlignment="1">
      <alignment horizontal="center" vertical="center"/>
    </xf>
    <xf numFmtId="0" fontId="13" fillId="11" borderId="5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3" fontId="10" fillId="11" borderId="1" xfId="0" applyNumberFormat="1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/>
    </xf>
    <xf numFmtId="164" fontId="10" fillId="11" borderId="1" xfId="0" applyNumberFormat="1" applyFont="1" applyFill="1" applyBorder="1" applyAlignment="1">
      <alignment horizontal="center" vertical="center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21" xfId="0" applyFont="1" applyFill="1" applyBorder="1" applyAlignment="1">
      <alignment horizontal="center" vertical="center" wrapText="1"/>
    </xf>
    <xf numFmtId="0" fontId="10" fillId="13" borderId="4" xfId="0" applyFont="1" applyFill="1" applyBorder="1" applyAlignment="1">
      <alignment vertical="center" wrapText="1"/>
    </xf>
    <xf numFmtId="0" fontId="13" fillId="13" borderId="4" xfId="0" applyFont="1" applyFill="1" applyBorder="1" applyAlignment="1">
      <alignment horizontal="center" vertical="center" wrapText="1"/>
    </xf>
    <xf numFmtId="0" fontId="10" fillId="13" borderId="4" xfId="0" applyFont="1" applyFill="1" applyBorder="1" applyAlignment="1">
      <alignment horizontal="center" vertical="center" wrapText="1"/>
    </xf>
    <xf numFmtId="0" fontId="42" fillId="13" borderId="1" xfId="0" applyFont="1" applyFill="1" applyBorder="1" applyAlignment="1">
      <alignment horizontal="center" vertical="center" wrapText="1"/>
    </xf>
    <xf numFmtId="165" fontId="10" fillId="13" borderId="1" xfId="0" applyNumberFormat="1" applyFont="1" applyFill="1" applyBorder="1" applyAlignment="1">
      <alignment horizontal="center" vertical="center"/>
    </xf>
    <xf numFmtId="0" fontId="42" fillId="13" borderId="5" xfId="0" applyFont="1" applyFill="1" applyBorder="1" applyAlignment="1">
      <alignment horizontal="center" vertical="center" wrapText="1"/>
    </xf>
    <xf numFmtId="0" fontId="42" fillId="13" borderId="4" xfId="0" applyFont="1" applyFill="1" applyBorder="1" applyAlignment="1">
      <alignment horizontal="center" vertical="center" wrapText="1"/>
    </xf>
    <xf numFmtId="0" fontId="30" fillId="13" borderId="5" xfId="0" applyFont="1" applyFill="1" applyBorder="1" applyAlignment="1">
      <alignment horizontal="center" vertical="center" wrapText="1"/>
    </xf>
    <xf numFmtId="0" fontId="30" fillId="13" borderId="4" xfId="0" applyFont="1" applyFill="1" applyBorder="1" applyAlignment="1">
      <alignment horizontal="center" vertical="center"/>
    </xf>
    <xf numFmtId="0" fontId="27" fillId="13" borderId="44" xfId="0" applyFont="1" applyFill="1" applyBorder="1" applyAlignment="1">
      <alignment horizontal="center" vertical="center" wrapText="1"/>
    </xf>
    <xf numFmtId="0" fontId="27" fillId="13" borderId="78" xfId="0" applyFont="1" applyFill="1" applyBorder="1" applyAlignment="1">
      <alignment horizontal="center" vertical="center" wrapText="1"/>
    </xf>
    <xf numFmtId="0" fontId="27" fillId="13" borderId="4" xfId="0" applyFont="1" applyFill="1" applyBorder="1" applyAlignment="1">
      <alignment horizontal="center" vertical="center" wrapText="1"/>
    </xf>
    <xf numFmtId="0" fontId="28" fillId="13" borderId="1" xfId="0" applyFont="1" applyFill="1" applyBorder="1" applyAlignment="1">
      <alignment horizontal="justify" vertical="center" wrapText="1"/>
    </xf>
    <xf numFmtId="164" fontId="26" fillId="13" borderId="1" xfId="0" applyNumberFormat="1" applyFont="1" applyFill="1" applyBorder="1" applyAlignment="1">
      <alignment horizontal="center" vertical="center" wrapText="1"/>
    </xf>
    <xf numFmtId="164" fontId="27" fillId="13" borderId="1" xfId="0" applyNumberFormat="1" applyFont="1" applyFill="1" applyBorder="1" applyAlignment="1">
      <alignment horizontal="center" vertical="center" wrapText="1"/>
    </xf>
    <xf numFmtId="0" fontId="26" fillId="13" borderId="1" xfId="0" applyFont="1" applyFill="1" applyBorder="1" applyAlignment="1">
      <alignment horizontal="center" vertical="center" wrapText="1"/>
    </xf>
    <xf numFmtId="0" fontId="10" fillId="11" borderId="1" xfId="0" applyFont="1" applyFill="1" applyBorder="1"/>
    <xf numFmtId="165" fontId="10" fillId="11" borderId="1" xfId="0" applyNumberFormat="1" applyFont="1" applyFill="1" applyBorder="1" applyAlignment="1">
      <alignment horizontal="center" vertical="center"/>
    </xf>
    <xf numFmtId="165" fontId="9" fillId="11" borderId="1" xfId="0" applyNumberFormat="1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left" vertical="center"/>
    </xf>
    <xf numFmtId="0" fontId="9" fillId="11" borderId="1" xfId="0" applyFont="1" applyFill="1" applyBorder="1" applyAlignment="1">
      <alignment horizontal="center" vertical="center"/>
    </xf>
    <xf numFmtId="0" fontId="22" fillId="11" borderId="8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20" fillId="11" borderId="1" xfId="0" quotePrefix="1" applyFont="1" applyFill="1" applyBorder="1" applyAlignment="1">
      <alignment horizontal="center" vertical="center"/>
    </xf>
    <xf numFmtId="4" fontId="22" fillId="11" borderId="1" xfId="0" applyNumberFormat="1" applyFont="1" applyFill="1" applyBorder="1" applyAlignment="1">
      <alignment horizontal="center" vertical="center" wrapText="1"/>
    </xf>
    <xf numFmtId="3" fontId="22" fillId="11" borderId="1" xfId="0" applyNumberFormat="1" applyFont="1" applyFill="1" applyBorder="1" applyAlignment="1">
      <alignment horizontal="center" vertical="center" wrapText="1"/>
    </xf>
    <xf numFmtId="0" fontId="0" fillId="11" borderId="3" xfId="0" applyFill="1" applyBorder="1"/>
    <xf numFmtId="0" fontId="0" fillId="11" borderId="1" xfId="0" applyFill="1" applyBorder="1"/>
    <xf numFmtId="4" fontId="0" fillId="11" borderId="1" xfId="0" applyNumberFormat="1" applyFill="1" applyBorder="1" applyAlignment="1">
      <alignment horizontal="center" vertical="center"/>
    </xf>
    <xf numFmtId="3" fontId="0" fillId="11" borderId="1" xfId="0" applyNumberFormat="1" applyFill="1" applyBorder="1" applyAlignment="1">
      <alignment horizontal="center" vertical="center"/>
    </xf>
    <xf numFmtId="3" fontId="0" fillId="11" borderId="23" xfId="0" applyNumberFormat="1" applyFill="1" applyBorder="1" applyAlignment="1">
      <alignment horizontal="center"/>
    </xf>
    <xf numFmtId="3" fontId="0" fillId="11" borderId="1" xfId="0" applyNumberFormat="1" applyFill="1" applyBorder="1" applyAlignment="1">
      <alignment horizontal="center"/>
    </xf>
    <xf numFmtId="4" fontId="0" fillId="11" borderId="1" xfId="0" applyNumberFormat="1" applyFill="1" applyBorder="1" applyAlignment="1">
      <alignment horizontal="center"/>
    </xf>
    <xf numFmtId="3" fontId="0" fillId="11" borderId="1" xfId="0" applyNumberFormat="1" applyFont="1" applyFill="1" applyBorder="1" applyAlignment="1">
      <alignment horizontal="center"/>
    </xf>
    <xf numFmtId="0" fontId="0" fillId="11" borderId="8" xfId="0" applyFill="1" applyBorder="1"/>
    <xf numFmtId="1" fontId="10" fillId="11" borderId="1" xfId="0" applyNumberFormat="1" applyFont="1" applyFill="1" applyBorder="1" applyAlignment="1">
      <alignment horizontal="center" vertical="center"/>
    </xf>
    <xf numFmtId="3" fontId="10" fillId="11" borderId="1" xfId="0" applyNumberFormat="1" applyFont="1" applyFill="1" applyBorder="1" applyAlignment="1">
      <alignment horizontal="center" vertical="center"/>
    </xf>
    <xf numFmtId="2" fontId="10" fillId="11" borderId="1" xfId="0" applyNumberFormat="1" applyFont="1" applyFill="1" applyBorder="1" applyAlignment="1">
      <alignment horizontal="center" vertical="center"/>
    </xf>
    <xf numFmtId="4" fontId="10" fillId="11" borderId="1" xfId="0" applyNumberFormat="1" applyFont="1" applyFill="1" applyBorder="1" applyAlignment="1">
      <alignment horizontal="center" vertical="center"/>
    </xf>
    <xf numFmtId="1" fontId="35" fillId="11" borderId="0" xfId="0" applyNumberFormat="1" applyFont="1" applyFill="1" applyAlignment="1">
      <alignment horizontal="center" vertical="center"/>
    </xf>
    <xf numFmtId="164" fontId="35" fillId="11" borderId="0" xfId="0" applyNumberFormat="1" applyFont="1" applyFill="1" applyAlignment="1">
      <alignment horizontal="center" vertical="center"/>
    </xf>
    <xf numFmtId="0" fontId="35" fillId="11" borderId="0" xfId="0" applyFont="1" applyFill="1"/>
    <xf numFmtId="0" fontId="46" fillId="11" borderId="14" xfId="0" applyFont="1" applyFill="1" applyBorder="1" applyAlignment="1">
      <alignment horizontal="center" vertical="center" wrapText="1"/>
    </xf>
    <xf numFmtId="0" fontId="46" fillId="11" borderId="15" xfId="0" applyFont="1" applyFill="1" applyBorder="1" applyAlignment="1">
      <alignment horizontal="center" vertical="center" wrapText="1"/>
    </xf>
    <xf numFmtId="9" fontId="46" fillId="11" borderId="32" xfId="0" applyNumberFormat="1" applyFont="1" applyFill="1" applyBorder="1" applyAlignment="1">
      <alignment horizontal="center" vertical="center" wrapText="1"/>
    </xf>
    <xf numFmtId="0" fontId="49" fillId="11" borderId="1" xfId="15" quotePrefix="1" applyFont="1" applyFill="1" applyBorder="1" applyAlignment="1">
      <alignment horizontal="center" vertical="center"/>
    </xf>
    <xf numFmtId="0" fontId="49" fillId="11" borderId="1" xfId="15" applyFont="1" applyFill="1" applyBorder="1" applyAlignment="1">
      <alignment vertical="center"/>
    </xf>
    <xf numFmtId="0" fontId="49" fillId="11" borderId="1" xfId="15" applyFont="1" applyFill="1" applyBorder="1" applyAlignment="1">
      <alignment horizontal="center" vertical="center" wrapText="1"/>
    </xf>
    <xf numFmtId="0" fontId="6" fillId="11" borderId="37" xfId="0" applyFont="1" applyFill="1" applyBorder="1" applyAlignment="1">
      <alignment vertical="center" wrapText="1"/>
    </xf>
    <xf numFmtId="0" fontId="6" fillId="11" borderId="16" xfId="0" applyFont="1" applyFill="1" applyBorder="1" applyAlignment="1">
      <alignment vertical="center" wrapText="1"/>
    </xf>
    <xf numFmtId="0" fontId="6" fillId="11" borderId="39" xfId="0" applyFont="1" applyFill="1" applyBorder="1" applyAlignment="1">
      <alignment vertical="center" wrapText="1"/>
    </xf>
    <xf numFmtId="0" fontId="6" fillId="11" borderId="17" xfId="0" applyFont="1" applyFill="1" applyBorder="1" applyAlignment="1">
      <alignment vertical="center" wrapText="1"/>
    </xf>
    <xf numFmtId="0" fontId="31" fillId="11" borderId="0" xfId="0" applyFont="1" applyFill="1" applyBorder="1"/>
    <xf numFmtId="0" fontId="32" fillId="11" borderId="0" xfId="0" applyFont="1" applyFill="1" applyBorder="1" applyAlignment="1">
      <alignment horizontal="left" vertical="center" wrapText="1"/>
    </xf>
    <xf numFmtId="0" fontId="6" fillId="11" borderId="0" xfId="0" applyFont="1" applyFill="1" applyBorder="1" applyAlignment="1">
      <alignment vertical="center" wrapText="1"/>
    </xf>
    <xf numFmtId="0" fontId="30" fillId="11" borderId="0" xfId="0" applyFont="1" applyFill="1" applyBorder="1" applyAlignment="1">
      <alignment vertical="center" wrapText="1"/>
    </xf>
    <xf numFmtId="0" fontId="30" fillId="11" borderId="39" xfId="0" applyFont="1" applyFill="1" applyBorder="1" applyAlignment="1">
      <alignment horizontal="left" vertical="center" wrapText="1" indent="1"/>
    </xf>
    <xf numFmtId="0" fontId="30" fillId="11" borderId="0" xfId="0" applyFont="1" applyFill="1" applyBorder="1" applyAlignment="1">
      <alignment horizontal="left" vertical="center" wrapText="1" indent="1"/>
    </xf>
    <xf numFmtId="0" fontId="6" fillId="11" borderId="33" xfId="0" applyFont="1" applyFill="1" applyBorder="1" applyAlignment="1">
      <alignment vertical="center" wrapText="1"/>
    </xf>
    <xf numFmtId="0" fontId="6" fillId="11" borderId="30" xfId="0" applyFont="1" applyFill="1" applyBorder="1" applyAlignment="1">
      <alignment vertical="center" wrapText="1"/>
    </xf>
    <xf numFmtId="0" fontId="31" fillId="11" borderId="30" xfId="0" applyFont="1" applyFill="1" applyBorder="1"/>
    <xf numFmtId="0" fontId="6" fillId="11" borderId="31" xfId="0" applyFont="1" applyFill="1" applyBorder="1" applyAlignment="1">
      <alignment vertical="center" wrapText="1"/>
    </xf>
    <xf numFmtId="1" fontId="35" fillId="2" borderId="0" xfId="0" applyNumberFormat="1" applyFont="1" applyFill="1" applyAlignment="1">
      <alignment horizontal="center" vertical="center"/>
    </xf>
    <xf numFmtId="0" fontId="35" fillId="11" borderId="0" xfId="0" applyFont="1" applyFill="1" applyAlignment="1">
      <alignment horizontal="center" vertical="center"/>
    </xf>
    <xf numFmtId="1" fontId="35" fillId="13" borderId="0" xfId="0" applyNumberFormat="1" applyFont="1" applyFill="1" applyAlignment="1">
      <alignment horizontal="center" vertical="center"/>
    </xf>
    <xf numFmtId="0" fontId="35" fillId="13" borderId="0" xfId="0" applyFont="1" applyFill="1" applyAlignment="1">
      <alignment horizontal="center" vertical="center"/>
    </xf>
    <xf numFmtId="164" fontId="35" fillId="13" borderId="0" xfId="0" applyNumberFormat="1" applyFont="1" applyFill="1" applyAlignment="1">
      <alignment horizontal="center" vertical="center"/>
    </xf>
    <xf numFmtId="1" fontId="0" fillId="11" borderId="0" xfId="0" applyNumberFormat="1" applyFill="1" applyAlignment="1">
      <alignment horizontal="center" vertical="center"/>
    </xf>
    <xf numFmtId="164" fontId="0" fillId="11" borderId="0" xfId="0" applyNumberFormat="1" applyFill="1" applyAlignment="1">
      <alignment horizontal="center" vertical="center"/>
    </xf>
    <xf numFmtId="0" fontId="0" fillId="11" borderId="0" xfId="0" applyFill="1"/>
    <xf numFmtId="0" fontId="0" fillId="11" borderId="0" xfId="0" applyFill="1" applyAlignment="1">
      <alignment horizontal="center" vertical="center"/>
    </xf>
    <xf numFmtId="1" fontId="0" fillId="13" borderId="0" xfId="0" applyNumberFormat="1" applyFill="1" applyAlignment="1">
      <alignment horizontal="center" vertical="center"/>
    </xf>
    <xf numFmtId="0" fontId="42" fillId="13" borderId="1" xfId="0" applyFont="1" applyFill="1" applyBorder="1" applyAlignment="1">
      <alignment horizontal="center" vertical="center" wrapText="1"/>
    </xf>
    <xf numFmtId="0" fontId="42" fillId="13" borderId="22" xfId="0" applyFont="1" applyFill="1" applyBorder="1" applyAlignment="1">
      <alignment horizontal="center" vertical="center" wrapText="1"/>
    </xf>
    <xf numFmtId="0" fontId="42" fillId="13" borderId="44" xfId="0" applyFont="1" applyFill="1" applyBorder="1" applyAlignment="1">
      <alignment horizontal="center" vertical="center" wrapText="1"/>
    </xf>
    <xf numFmtId="0" fontId="42" fillId="13" borderId="46" xfId="0" applyFont="1" applyFill="1" applyBorder="1" applyAlignment="1">
      <alignment horizontal="center" vertical="center" wrapText="1"/>
    </xf>
    <xf numFmtId="0" fontId="42" fillId="13" borderId="36" xfId="0" applyFont="1" applyFill="1" applyBorder="1" applyAlignment="1">
      <alignment horizontal="center" vertical="center" wrapText="1"/>
    </xf>
    <xf numFmtId="0" fontId="42" fillId="13" borderId="45" xfId="0" applyFont="1" applyFill="1" applyBorder="1" applyAlignment="1">
      <alignment horizontal="center" vertical="center" wrapText="1"/>
    </xf>
    <xf numFmtId="165" fontId="10" fillId="14" borderId="1" xfId="0" applyNumberFormat="1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4" fontId="10" fillId="14" borderId="1" xfId="0" applyNumberFormat="1" applyFont="1" applyFill="1" applyBorder="1" applyAlignment="1">
      <alignment horizontal="center" vertical="center"/>
    </xf>
    <xf numFmtId="2" fontId="10" fillId="14" borderId="1" xfId="0" applyNumberFormat="1" applyFont="1" applyFill="1" applyBorder="1" applyAlignment="1">
      <alignment horizontal="center" vertical="center"/>
    </xf>
    <xf numFmtId="164" fontId="10" fillId="14" borderId="1" xfId="0" applyNumberFormat="1" applyFont="1" applyFill="1" applyBorder="1" applyAlignment="1">
      <alignment horizontal="center" vertical="center"/>
    </xf>
    <xf numFmtId="0" fontId="27" fillId="13" borderId="1" xfId="0" applyFont="1" applyFill="1" applyBorder="1" applyAlignment="1">
      <alignment horizontal="center" vertical="center" wrapText="1"/>
    </xf>
    <xf numFmtId="0" fontId="14" fillId="16" borderId="1" xfId="0" applyFont="1" applyFill="1" applyBorder="1" applyAlignment="1">
      <alignment horizontal="left" vertical="center" wrapText="1"/>
    </xf>
    <xf numFmtId="4" fontId="14" fillId="16" borderId="1" xfId="0" applyNumberFormat="1" applyFont="1" applyFill="1" applyBorder="1" applyAlignment="1">
      <alignment horizontal="center" vertical="center" wrapText="1"/>
    </xf>
    <xf numFmtId="164" fontId="10" fillId="16" borderId="1" xfId="0" applyNumberFormat="1" applyFont="1" applyFill="1" applyBorder="1" applyAlignment="1">
      <alignment horizontal="center" vertical="center"/>
    </xf>
    <xf numFmtId="0" fontId="10" fillId="16" borderId="5" xfId="0" applyFont="1" applyFill="1" applyBorder="1" applyAlignment="1">
      <alignment horizontal="center" vertical="center"/>
    </xf>
    <xf numFmtId="0" fontId="10" fillId="16" borderId="5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165" fontId="14" fillId="16" borderId="1" xfId="0" applyNumberFormat="1" applyFont="1" applyFill="1" applyBorder="1" applyAlignment="1">
      <alignment horizontal="center" vertical="center" wrapText="1"/>
    </xf>
    <xf numFmtId="164" fontId="14" fillId="16" borderId="1" xfId="0" applyNumberFormat="1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 wrapText="1"/>
    </xf>
    <xf numFmtId="3" fontId="6" fillId="16" borderId="1" xfId="0" applyNumberFormat="1" applyFont="1" applyFill="1" applyBorder="1" applyAlignment="1">
      <alignment horizontal="center" vertical="center" wrapText="1"/>
    </xf>
    <xf numFmtId="0" fontId="49" fillId="16" borderId="1" xfId="0" applyFont="1" applyFill="1" applyBorder="1" applyAlignment="1">
      <alignment vertical="center" wrapText="1"/>
    </xf>
    <xf numFmtId="0" fontId="10" fillId="16" borderId="1" xfId="0" applyFont="1" applyFill="1" applyBorder="1" applyAlignment="1">
      <alignment horizontal="left" vertical="center"/>
    </xf>
    <xf numFmtId="0" fontId="53" fillId="2" borderId="0" xfId="0" applyFont="1" applyFill="1"/>
    <xf numFmtId="165" fontId="20" fillId="2" borderId="1" xfId="0" applyNumberFormat="1" applyFont="1" applyFill="1" applyBorder="1" applyAlignment="1">
      <alignment horizontal="center" vertical="center" wrapText="1"/>
    </xf>
    <xf numFmtId="165" fontId="20" fillId="16" borderId="1" xfId="0" applyNumberFormat="1" applyFont="1" applyFill="1" applyBorder="1" applyAlignment="1">
      <alignment horizontal="center" vertical="center" wrapText="1"/>
    </xf>
    <xf numFmtId="4" fontId="20" fillId="16" borderId="1" xfId="0" applyNumberFormat="1" applyFont="1" applyFill="1" applyBorder="1" applyAlignment="1">
      <alignment horizontal="center" vertical="center" wrapText="1"/>
    </xf>
    <xf numFmtId="0" fontId="61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164" fontId="61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/>
    </xf>
    <xf numFmtId="165" fontId="35" fillId="2" borderId="1" xfId="0" applyNumberFormat="1" applyFont="1" applyFill="1" applyBorder="1" applyAlignment="1">
      <alignment horizontal="center" vertical="center"/>
    </xf>
    <xf numFmtId="0" fontId="42" fillId="15" borderId="1" xfId="0" applyFont="1" applyFill="1" applyBorder="1" applyAlignment="1">
      <alignment horizontal="center" vertical="center" wrapText="1"/>
    </xf>
    <xf numFmtId="0" fontId="30" fillId="15" borderId="1" xfId="0" applyFont="1" applyFill="1" applyBorder="1" applyAlignment="1">
      <alignment horizontal="center" vertical="center" wrapText="1"/>
    </xf>
    <xf numFmtId="164" fontId="42" fillId="15" borderId="1" xfId="0" applyNumberFormat="1" applyFont="1" applyFill="1" applyBorder="1" applyAlignment="1">
      <alignment horizontal="center" vertical="center" wrapText="1"/>
    </xf>
    <xf numFmtId="3" fontId="28" fillId="15" borderId="1" xfId="0" applyNumberFormat="1" applyFont="1" applyFill="1" applyBorder="1" applyAlignment="1">
      <alignment horizontal="left" vertical="center" wrapText="1"/>
    </xf>
    <xf numFmtId="165" fontId="28" fillId="15" borderId="1" xfId="0" applyNumberFormat="1" applyFont="1" applyFill="1" applyBorder="1" applyAlignment="1">
      <alignment horizontal="center" vertical="center" wrapText="1"/>
    </xf>
    <xf numFmtId="0" fontId="26" fillId="15" borderId="4" xfId="0" applyFont="1" applyFill="1" applyBorder="1" applyAlignment="1">
      <alignment horizontal="center" vertical="center" wrapText="1"/>
    </xf>
    <xf numFmtId="0" fontId="27" fillId="15" borderId="21" xfId="0" applyFont="1" applyFill="1" applyBorder="1" applyAlignment="1">
      <alignment horizontal="center" vertical="center" wrapText="1"/>
    </xf>
    <xf numFmtId="0" fontId="27" fillId="15" borderId="5" xfId="0" applyFont="1" applyFill="1" applyBorder="1" applyAlignment="1">
      <alignment horizontal="center" vertical="center" wrapText="1"/>
    </xf>
    <xf numFmtId="0" fontId="26" fillId="15" borderId="4" xfId="0" applyFont="1" applyFill="1" applyBorder="1" applyAlignment="1">
      <alignment vertical="center" wrapText="1"/>
    </xf>
    <xf numFmtId="0" fontId="14" fillId="17" borderId="1" xfId="0" applyFont="1" applyFill="1" applyBorder="1" applyAlignment="1">
      <alignment horizontal="left" vertical="center" wrapText="1"/>
    </xf>
    <xf numFmtId="165" fontId="14" fillId="17" borderId="1" xfId="0" applyNumberFormat="1" applyFont="1" applyFill="1" applyBorder="1" applyAlignment="1">
      <alignment horizontal="center" vertical="center" wrapText="1"/>
    </xf>
    <xf numFmtId="3" fontId="14" fillId="17" borderId="1" xfId="0" applyNumberFormat="1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left" vertical="center" wrapText="1"/>
    </xf>
    <xf numFmtId="3" fontId="28" fillId="17" borderId="1" xfId="0" applyNumberFormat="1" applyFont="1" applyFill="1" applyBorder="1" applyAlignment="1">
      <alignment horizontal="left" vertical="center" wrapText="1"/>
    </xf>
    <xf numFmtId="165" fontId="28" fillId="17" borderId="1" xfId="0" applyNumberFormat="1" applyFont="1" applyFill="1" applyBorder="1" applyAlignment="1">
      <alignment horizontal="center" vertical="center" wrapText="1"/>
    </xf>
    <xf numFmtId="0" fontId="27" fillId="18" borderId="5" xfId="0" applyFont="1" applyFill="1" applyBorder="1" applyAlignment="1">
      <alignment horizontal="center" vertical="center" wrapText="1"/>
    </xf>
    <xf numFmtId="0" fontId="27" fillId="18" borderId="21" xfId="0" applyFont="1" applyFill="1" applyBorder="1" applyAlignment="1">
      <alignment horizontal="center" vertical="center" wrapText="1"/>
    </xf>
    <xf numFmtId="0" fontId="26" fillId="18" borderId="4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21" xfId="0" applyFont="1" applyFill="1" applyBorder="1" applyAlignment="1">
      <alignment horizontal="center" vertical="center" wrapText="1"/>
    </xf>
    <xf numFmtId="0" fontId="10" fillId="18" borderId="4" xfId="0" applyFont="1" applyFill="1" applyBorder="1" applyAlignment="1">
      <alignment vertical="center" wrapText="1"/>
    </xf>
    <xf numFmtId="0" fontId="10" fillId="18" borderId="4" xfId="0" applyFont="1" applyFill="1" applyBorder="1" applyAlignment="1">
      <alignment horizontal="center" vertical="center" wrapText="1"/>
    </xf>
    <xf numFmtId="164" fontId="56" fillId="13" borderId="1" xfId="0" applyNumberFormat="1" applyFont="1" applyFill="1" applyBorder="1" applyAlignment="1">
      <alignment horizontal="center" vertical="center" wrapText="1"/>
    </xf>
    <xf numFmtId="164" fontId="10" fillId="11" borderId="14" xfId="0" applyNumberFormat="1" applyFont="1" applyFill="1" applyBorder="1" applyAlignment="1">
      <alignment horizontal="center" vertical="center"/>
    </xf>
    <xf numFmtId="0" fontId="10" fillId="11" borderId="15" xfId="0" applyFont="1" applyFill="1" applyBorder="1" applyAlignment="1">
      <alignment horizontal="center" vertical="center"/>
    </xf>
    <xf numFmtId="164" fontId="10" fillId="16" borderId="14" xfId="0" applyNumberFormat="1" applyFont="1" applyFill="1" applyBorder="1" applyAlignment="1">
      <alignment horizontal="center" vertical="center"/>
    </xf>
    <xf numFmtId="0" fontId="10" fillId="16" borderId="15" xfId="0" applyFont="1" applyFill="1" applyBorder="1" applyAlignment="1">
      <alignment horizontal="center" vertical="center"/>
    </xf>
    <xf numFmtId="0" fontId="10" fillId="11" borderId="32" xfId="0" applyFont="1" applyFill="1" applyBorder="1"/>
    <xf numFmtId="165" fontId="10" fillId="11" borderId="15" xfId="0" applyNumberFormat="1" applyFont="1" applyFill="1" applyBorder="1" applyAlignment="1">
      <alignment horizontal="center" vertical="center"/>
    </xf>
    <xf numFmtId="165" fontId="10" fillId="16" borderId="15" xfId="0" applyNumberFormat="1" applyFont="1" applyFill="1" applyBorder="1" applyAlignment="1">
      <alignment horizontal="center" vertical="center"/>
    </xf>
    <xf numFmtId="0" fontId="10" fillId="16" borderId="32" xfId="0" applyFont="1" applyFill="1" applyBorder="1"/>
    <xf numFmtId="0" fontId="10" fillId="16" borderId="32" xfId="0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horizontal="justify" vertical="center"/>
    </xf>
    <xf numFmtId="0" fontId="7" fillId="2" borderId="80" xfId="0" applyFont="1" applyFill="1" applyBorder="1" applyAlignment="1">
      <alignment horizontal="justify" vertical="center"/>
    </xf>
    <xf numFmtId="0" fontId="7" fillId="8" borderId="80" xfId="0" applyFont="1" applyFill="1" applyBorder="1" applyAlignment="1">
      <alignment horizontal="justify" vertical="center"/>
    </xf>
    <xf numFmtId="0" fontId="7" fillId="8" borderId="81" xfId="0" applyFont="1" applyFill="1" applyBorder="1" applyAlignment="1">
      <alignment horizontal="justify" vertical="center"/>
    </xf>
    <xf numFmtId="164" fontId="10" fillId="16" borderId="1" xfId="0" applyNumberFormat="1" applyFont="1" applyFill="1" applyBorder="1" applyAlignment="1">
      <alignment horizontal="left" vertical="center"/>
    </xf>
    <xf numFmtId="0" fontId="7" fillId="2" borderId="81" xfId="0" applyFont="1" applyFill="1" applyBorder="1" applyAlignment="1">
      <alignment horizontal="justify" vertical="center"/>
    </xf>
    <xf numFmtId="0" fontId="12" fillId="2" borderId="83" xfId="0" quotePrefix="1" applyFont="1" applyFill="1" applyBorder="1" applyAlignment="1">
      <alignment horizontal="center" vertical="center"/>
    </xf>
    <xf numFmtId="0" fontId="8" fillId="2" borderId="85" xfId="0" quotePrefix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left" vertical="center"/>
    </xf>
    <xf numFmtId="0" fontId="7" fillId="19" borderId="35" xfId="0" applyFont="1" applyFill="1" applyBorder="1" applyAlignment="1">
      <alignment horizontal="center" vertical="center" wrapText="1"/>
    </xf>
    <xf numFmtId="0" fontId="7" fillId="19" borderId="19" xfId="0" applyFont="1" applyFill="1" applyBorder="1" applyAlignment="1">
      <alignment horizontal="center" vertical="center" wrapText="1"/>
    </xf>
    <xf numFmtId="0" fontId="10" fillId="19" borderId="14" xfId="0" applyFont="1" applyFill="1" applyBorder="1" applyAlignment="1">
      <alignment horizontal="center" vertical="center"/>
    </xf>
    <xf numFmtId="0" fontId="10" fillId="19" borderId="32" xfId="0" applyFont="1" applyFill="1" applyBorder="1" applyAlignment="1">
      <alignment horizontal="center" vertical="center"/>
    </xf>
    <xf numFmtId="0" fontId="6" fillId="19" borderId="82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83" xfId="0" applyFont="1" applyFill="1" applyBorder="1" applyAlignment="1">
      <alignment horizontal="center" vertical="center"/>
    </xf>
    <xf numFmtId="0" fontId="7" fillId="19" borderId="84" xfId="0" applyFont="1" applyFill="1" applyBorder="1" applyAlignment="1">
      <alignment horizontal="center" vertical="center"/>
    </xf>
    <xf numFmtId="0" fontId="7" fillId="19" borderId="29" xfId="0" applyFont="1" applyFill="1" applyBorder="1" applyAlignment="1">
      <alignment horizontal="center" vertical="center"/>
    </xf>
    <xf numFmtId="0" fontId="7" fillId="19" borderId="85" xfId="0" applyFont="1" applyFill="1" applyBorder="1" applyAlignment="1">
      <alignment horizontal="center" vertical="center"/>
    </xf>
    <xf numFmtId="3" fontId="7" fillId="2" borderId="19" xfId="0" applyNumberFormat="1" applyFont="1" applyFill="1" applyBorder="1" applyAlignment="1">
      <alignment horizontal="center" vertical="center"/>
    </xf>
    <xf numFmtId="164" fontId="35" fillId="15" borderId="0" xfId="0" applyNumberFormat="1" applyFont="1" applyFill="1"/>
    <xf numFmtId="165" fontId="30" fillId="2" borderId="19" xfId="0" applyNumberFormat="1" applyFont="1" applyFill="1" applyBorder="1" applyAlignment="1">
      <alignment horizontal="center" vertical="center"/>
    </xf>
    <xf numFmtId="165" fontId="30" fillId="2" borderId="35" xfId="0" applyNumberFormat="1" applyFont="1" applyFill="1" applyBorder="1" applyAlignment="1">
      <alignment horizontal="center" vertical="center"/>
    </xf>
    <xf numFmtId="165" fontId="30" fillId="2" borderId="18" xfId="0" applyNumberFormat="1" applyFont="1" applyFill="1" applyBorder="1" applyAlignment="1">
      <alignment horizontal="center" vertical="center"/>
    </xf>
    <xf numFmtId="164" fontId="42" fillId="2" borderId="43" xfId="0" applyNumberFormat="1" applyFont="1" applyFill="1" applyBorder="1" applyAlignment="1">
      <alignment horizontal="center" vertical="center"/>
    </xf>
    <xf numFmtId="164" fontId="30" fillId="2" borderId="35" xfId="0" applyNumberFormat="1" applyFont="1" applyFill="1" applyBorder="1" applyAlignment="1">
      <alignment horizontal="center" vertical="center"/>
    </xf>
    <xf numFmtId="164" fontId="30" fillId="2" borderId="18" xfId="0" applyNumberFormat="1" applyFont="1" applyFill="1" applyBorder="1" applyAlignment="1">
      <alignment horizontal="center" vertical="center"/>
    </xf>
    <xf numFmtId="164" fontId="30" fillId="2" borderId="19" xfId="0" applyNumberFormat="1" applyFont="1" applyFill="1" applyBorder="1" applyAlignment="1">
      <alignment horizontal="center" vertical="center"/>
    </xf>
    <xf numFmtId="0" fontId="54" fillId="15" borderId="1" xfId="0" applyFont="1" applyFill="1" applyBorder="1" applyAlignment="1">
      <alignment horizontal="center" vertical="center"/>
    </xf>
    <xf numFmtId="0" fontId="54" fillId="15" borderId="1" xfId="0" applyFont="1" applyFill="1" applyBorder="1" applyAlignment="1">
      <alignment horizontal="center" vertical="center" wrapText="1"/>
    </xf>
    <xf numFmtId="0" fontId="55" fillId="15" borderId="5" xfId="0" applyFont="1" applyFill="1" applyBorder="1" applyAlignment="1">
      <alignment horizontal="center" vertical="center"/>
    </xf>
    <xf numFmtId="0" fontId="55" fillId="15" borderId="4" xfId="0" applyFont="1" applyFill="1" applyBorder="1" applyAlignment="1">
      <alignment horizontal="center" vertical="center"/>
    </xf>
    <xf numFmtId="0" fontId="55" fillId="15" borderId="4" xfId="0" applyFont="1" applyFill="1" applyBorder="1" applyAlignment="1">
      <alignment horizontal="center" vertical="center" wrapText="1"/>
    </xf>
    <xf numFmtId="0" fontId="55" fillId="15" borderId="5" xfId="0" applyFont="1" applyFill="1" applyBorder="1" applyAlignment="1">
      <alignment horizontal="center" vertical="center" wrapText="1"/>
    </xf>
    <xf numFmtId="0" fontId="54" fillId="15" borderId="0" xfId="0" applyFont="1" applyFill="1" applyAlignment="1">
      <alignment horizontal="center" vertical="center"/>
    </xf>
    <xf numFmtId="164" fontId="54" fillId="15" borderId="0" xfId="0" applyNumberFormat="1" applyFont="1" applyFill="1" applyAlignment="1">
      <alignment horizontal="center" vertical="center"/>
    </xf>
    <xf numFmtId="3" fontId="10" fillId="2" borderId="0" xfId="0" applyNumberFormat="1" applyFont="1" applyFill="1"/>
    <xf numFmtId="3" fontId="10" fillId="15" borderId="1" xfId="0" applyNumberFormat="1" applyFont="1" applyFill="1" applyBorder="1" applyAlignment="1">
      <alignment horizontal="left" vertical="center" wrapText="1"/>
    </xf>
    <xf numFmtId="3" fontId="10" fillId="15" borderId="1" xfId="0" applyNumberFormat="1" applyFont="1" applyFill="1" applyBorder="1" applyAlignment="1">
      <alignment horizontal="center" vertical="center" wrapText="1"/>
    </xf>
    <xf numFmtId="3" fontId="10" fillId="15" borderId="1" xfId="0" quotePrefix="1" applyNumberFormat="1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/>
    </xf>
    <xf numFmtId="3" fontId="10" fillId="15" borderId="1" xfId="0" applyNumberFormat="1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/>
    </xf>
    <xf numFmtId="0" fontId="35" fillId="2" borderId="1" xfId="0" applyNumberFormat="1" applyFont="1" applyFill="1" applyBorder="1" applyAlignment="1">
      <alignment horizontal="left" vertical="center"/>
    </xf>
    <xf numFmtId="4" fontId="35" fillId="2" borderId="1" xfId="0" applyNumberFormat="1" applyFont="1" applyFill="1" applyBorder="1" applyAlignment="1">
      <alignment horizontal="center" vertical="center"/>
    </xf>
    <xf numFmtId="3" fontId="35" fillId="15" borderId="1" xfId="0" applyNumberFormat="1" applyFont="1" applyFill="1" applyBorder="1" applyAlignment="1">
      <alignment horizontal="center" vertical="center"/>
    </xf>
    <xf numFmtId="0" fontId="35" fillId="15" borderId="1" xfId="0" applyNumberFormat="1" applyFont="1" applyFill="1" applyBorder="1" applyAlignment="1">
      <alignment horizontal="left" vertical="center"/>
    </xf>
    <xf numFmtId="165" fontId="35" fillId="15" borderId="1" xfId="0" applyNumberFormat="1" applyFont="1" applyFill="1" applyBorder="1" applyAlignment="1">
      <alignment horizontal="center" vertical="center"/>
    </xf>
    <xf numFmtId="4" fontId="35" fillId="15" borderId="1" xfId="0" applyNumberFormat="1" applyFont="1" applyFill="1" applyBorder="1" applyAlignment="1">
      <alignment horizontal="center" vertical="center"/>
    </xf>
    <xf numFmtId="0" fontId="35" fillId="15" borderId="1" xfId="0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 vertical="center"/>
    </xf>
    <xf numFmtId="3" fontId="62" fillId="2" borderId="1" xfId="0" applyNumberFormat="1" applyFont="1" applyFill="1" applyBorder="1" applyAlignment="1">
      <alignment horizontal="center" vertical="center"/>
    </xf>
    <xf numFmtId="0" fontId="62" fillId="2" borderId="1" xfId="0" quotePrefix="1" applyFont="1" applyFill="1" applyBorder="1" applyAlignment="1">
      <alignment horizontal="center"/>
    </xf>
    <xf numFmtId="4" fontId="62" fillId="2" borderId="1" xfId="0" applyNumberFormat="1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0" fontId="42" fillId="13" borderId="2" xfId="0" applyFont="1" applyFill="1" applyBorder="1" applyAlignment="1">
      <alignment horizontal="left" vertical="center"/>
    </xf>
    <xf numFmtId="0" fontId="42" fillId="13" borderId="21" xfId="0" applyFont="1" applyFill="1" applyBorder="1" applyAlignment="1">
      <alignment horizontal="center" vertical="center" wrapText="1"/>
    </xf>
    <xf numFmtId="0" fontId="49" fillId="15" borderId="1" xfId="0" applyFont="1" applyFill="1" applyBorder="1" applyAlignment="1">
      <alignment horizontal="justify" vertical="center" wrapText="1"/>
    </xf>
    <xf numFmtId="165" fontId="42" fillId="15" borderId="1" xfId="0" applyNumberFormat="1" applyFont="1" applyFill="1" applyBorder="1" applyAlignment="1">
      <alignment horizontal="center" vertical="center" wrapText="1"/>
    </xf>
    <xf numFmtId="165" fontId="30" fillId="15" borderId="1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left" vertical="center"/>
    </xf>
    <xf numFmtId="0" fontId="35" fillId="18" borderId="1" xfId="0" applyFont="1" applyFill="1" applyBorder="1" applyAlignment="1">
      <alignment horizontal="center" vertical="center" wrapText="1"/>
    </xf>
    <xf numFmtId="2" fontId="35" fillId="11" borderId="1" xfId="0" applyNumberFormat="1" applyFont="1" applyFill="1" applyBorder="1" applyAlignment="1">
      <alignment horizontal="center" vertical="center" wrapText="1"/>
    </xf>
    <xf numFmtId="2" fontId="35" fillId="11" borderId="1" xfId="0" applyNumberFormat="1" applyFont="1" applyFill="1" applyBorder="1" applyAlignment="1">
      <alignment horizontal="left" vertical="center" wrapText="1"/>
    </xf>
    <xf numFmtId="1" fontId="35" fillId="2" borderId="1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61" fillId="20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4" fontId="61" fillId="0" borderId="1" xfId="0" applyNumberFormat="1" applyFont="1" applyBorder="1" applyAlignment="1">
      <alignment horizontal="center" vertical="center" wrapText="1"/>
    </xf>
    <xf numFmtId="0" fontId="61" fillId="20" borderId="1" xfId="0" applyFont="1" applyFill="1" applyBorder="1" applyAlignment="1">
      <alignment vertical="center" wrapText="1"/>
    </xf>
    <xf numFmtId="4" fontId="61" fillId="20" borderId="1" xfId="0" applyNumberFormat="1" applyFont="1" applyFill="1" applyBorder="1" applyAlignment="1">
      <alignment horizontal="center" vertical="center" wrapText="1"/>
    </xf>
    <xf numFmtId="164" fontId="61" fillId="0" borderId="1" xfId="0" applyNumberFormat="1" applyFont="1" applyBorder="1" applyAlignment="1">
      <alignment horizontal="center" vertical="center" wrapText="1"/>
    </xf>
    <xf numFmtId="164" fontId="61" fillId="20" borderId="1" xfId="0" applyNumberFormat="1" applyFont="1" applyFill="1" applyBorder="1" applyAlignment="1">
      <alignment horizontal="center" vertical="center" wrapText="1"/>
    </xf>
    <xf numFmtId="164" fontId="35" fillId="2" borderId="1" xfId="0" applyNumberFormat="1" applyFont="1" applyFill="1" applyBorder="1" applyAlignment="1">
      <alignment horizontal="center" vertical="center"/>
    </xf>
    <xf numFmtId="164" fontId="35" fillId="16" borderId="1" xfId="0" applyNumberFormat="1" applyFont="1" applyFill="1" applyBorder="1" applyAlignment="1">
      <alignment horizontal="center" vertical="center"/>
    </xf>
    <xf numFmtId="0" fontId="35" fillId="16" borderId="1" xfId="0" applyFont="1" applyFill="1" applyBorder="1" applyAlignment="1">
      <alignment horizontal="center" vertical="center"/>
    </xf>
    <xf numFmtId="165" fontId="35" fillId="11" borderId="0" xfId="0" applyNumberFormat="1" applyFont="1" applyFill="1" applyAlignment="1">
      <alignment horizontal="center" vertical="center"/>
    </xf>
    <xf numFmtId="0" fontId="63" fillId="2" borderId="0" xfId="0" applyFont="1" applyFill="1"/>
    <xf numFmtId="0" fontId="64" fillId="0" borderId="1" xfId="0" applyFont="1" applyBorder="1" applyAlignment="1">
      <alignment horizontal="justify" vertical="center" wrapText="1"/>
    </xf>
    <xf numFmtId="0" fontId="46" fillId="20" borderId="1" xfId="0" applyFont="1" applyFill="1" applyBorder="1" applyAlignment="1">
      <alignment vertical="center" wrapText="1"/>
    </xf>
    <xf numFmtId="0" fontId="46" fillId="20" borderId="1" xfId="0" applyFont="1" applyFill="1" applyBorder="1" applyAlignment="1">
      <alignment horizontal="center" vertical="center" wrapText="1"/>
    </xf>
    <xf numFmtId="0" fontId="46" fillId="20" borderId="5" xfId="0" applyFont="1" applyFill="1" applyBorder="1" applyAlignment="1">
      <alignment vertical="center" wrapText="1"/>
    </xf>
    <xf numFmtId="0" fontId="46" fillId="20" borderId="4" xfId="0" applyFont="1" applyFill="1" applyBorder="1" applyAlignment="1">
      <alignment vertical="center" wrapText="1"/>
    </xf>
    <xf numFmtId="0" fontId="64" fillId="2" borderId="5" xfId="0" applyFont="1" applyFill="1" applyBorder="1" applyAlignment="1">
      <alignment horizontal="justify" vertical="center" wrapText="1"/>
    </xf>
    <xf numFmtId="0" fontId="64" fillId="2" borderId="4" xfId="0" applyFont="1" applyFill="1" applyBorder="1" applyAlignment="1">
      <alignment horizontal="justify" vertical="center" wrapText="1"/>
    </xf>
    <xf numFmtId="0" fontId="64" fillId="2" borderId="21" xfId="0" applyFont="1" applyFill="1" applyBorder="1" applyAlignment="1">
      <alignment horizontal="justify" vertical="center" wrapText="1"/>
    </xf>
    <xf numFmtId="164" fontId="46" fillId="5" borderId="1" xfId="0" applyNumberFormat="1" applyFont="1" applyFill="1" applyBorder="1" applyAlignment="1">
      <alignment horizontal="center" vertical="center" wrapText="1"/>
    </xf>
    <xf numFmtId="164" fontId="46" fillId="20" borderId="1" xfId="0" applyNumberFormat="1" applyFont="1" applyFill="1" applyBorder="1" applyAlignment="1">
      <alignment horizontal="center" vertical="center" wrapText="1"/>
    </xf>
    <xf numFmtId="0" fontId="46" fillId="20" borderId="5" xfId="0" applyFont="1" applyFill="1" applyBorder="1" applyAlignment="1">
      <alignment horizontal="center" vertical="center" wrapText="1"/>
    </xf>
    <xf numFmtId="0" fontId="46" fillId="20" borderId="21" xfId="0" applyFont="1" applyFill="1" applyBorder="1" applyAlignment="1">
      <alignment horizontal="center" vertical="center" wrapText="1"/>
    </xf>
    <xf numFmtId="0" fontId="46" fillId="20" borderId="4" xfId="0" applyFont="1" applyFill="1" applyBorder="1" applyAlignment="1">
      <alignment horizontal="center" vertical="center" wrapText="1"/>
    </xf>
    <xf numFmtId="0" fontId="46" fillId="21" borderId="1" xfId="0" applyFont="1" applyFill="1" applyBorder="1" applyAlignment="1">
      <alignment horizontal="center" vertical="center" wrapText="1"/>
    </xf>
    <xf numFmtId="164" fontId="46" fillId="21" borderId="1" xfId="0" applyNumberFormat="1" applyFont="1" applyFill="1" applyBorder="1" applyAlignment="1">
      <alignment horizontal="center" vertical="center" wrapText="1"/>
    </xf>
    <xf numFmtId="0" fontId="41" fillId="2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41" fillId="20" borderId="1" xfId="0" applyFont="1" applyFill="1" applyBorder="1" applyAlignment="1">
      <alignment vertical="center" wrapText="1"/>
    </xf>
    <xf numFmtId="165" fontId="41" fillId="0" borderId="1" xfId="0" applyNumberFormat="1" applyFont="1" applyBorder="1" applyAlignment="1">
      <alignment horizontal="center" vertical="center" wrapText="1"/>
    </xf>
    <xf numFmtId="165" fontId="41" fillId="20" borderId="1" xfId="0" applyNumberFormat="1" applyFont="1" applyFill="1" applyBorder="1" applyAlignment="1">
      <alignment horizontal="center" vertical="center" wrapText="1"/>
    </xf>
    <xf numFmtId="0" fontId="41" fillId="20" borderId="5" xfId="0" applyFont="1" applyFill="1" applyBorder="1" applyAlignment="1">
      <alignment horizontal="center" vertical="center" wrapText="1"/>
    </xf>
    <xf numFmtId="0" fontId="40" fillId="20" borderId="5" xfId="0" applyFont="1" applyFill="1" applyBorder="1" applyAlignment="1">
      <alignment horizontal="center" vertical="center" wrapText="1"/>
    </xf>
    <xf numFmtId="0" fontId="41" fillId="20" borderId="21" xfId="0" applyFont="1" applyFill="1" applyBorder="1" applyAlignment="1">
      <alignment horizontal="center" vertical="center" wrapText="1"/>
    </xf>
    <xf numFmtId="0" fontId="40" fillId="20" borderId="21" xfId="0" applyFont="1" applyFill="1" applyBorder="1" applyAlignment="1">
      <alignment horizontal="center" vertical="center" wrapText="1"/>
    </xf>
    <xf numFmtId="0" fontId="22" fillId="20" borderId="21" xfId="0" applyFont="1" applyFill="1" applyBorder="1" applyAlignment="1">
      <alignment vertical="center" wrapText="1"/>
    </xf>
    <xf numFmtId="0" fontId="22" fillId="20" borderId="4" xfId="0" applyFont="1" applyFill="1" applyBorder="1" applyAlignment="1">
      <alignment vertical="center" wrapText="1"/>
    </xf>
    <xf numFmtId="0" fontId="41" fillId="20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vertical="center" wrapText="1"/>
    </xf>
    <xf numFmtId="0" fontId="20" fillId="2" borderId="4" xfId="0" applyFont="1" applyFill="1" applyBorder="1" applyAlignment="1">
      <alignment vertical="center" wrapText="1"/>
    </xf>
    <xf numFmtId="165" fontId="65" fillId="5" borderId="1" xfId="0" applyNumberFormat="1" applyFont="1" applyFill="1" applyBorder="1" applyAlignment="1">
      <alignment horizontal="center" vertical="center" wrapText="1"/>
    </xf>
    <xf numFmtId="165" fontId="65" fillId="0" borderId="1" xfId="0" applyNumberFormat="1" applyFont="1" applyBorder="1" applyAlignment="1">
      <alignment horizontal="center" vertical="center" wrapText="1"/>
    </xf>
    <xf numFmtId="165" fontId="66" fillId="5" borderId="1" xfId="0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164" fontId="30" fillId="2" borderId="0" xfId="0" applyNumberFormat="1" applyFont="1" applyFill="1" applyAlignment="1">
      <alignment horizontal="center" vertical="center"/>
    </xf>
    <xf numFmtId="3" fontId="30" fillId="2" borderId="0" xfId="0" applyNumberFormat="1" applyFont="1" applyFill="1" applyAlignment="1">
      <alignment horizontal="center" vertical="center"/>
    </xf>
    <xf numFmtId="3" fontId="7" fillId="13" borderId="18" xfId="0" applyNumberFormat="1" applyFont="1" applyFill="1" applyBorder="1" applyAlignment="1">
      <alignment horizontal="center" vertical="center"/>
    </xf>
    <xf numFmtId="0" fontId="46" fillId="12" borderId="14" xfId="0" applyFont="1" applyFill="1" applyBorder="1" applyAlignment="1">
      <alignment horizontal="center" vertical="center" wrapText="1"/>
    </xf>
    <xf numFmtId="0" fontId="46" fillId="12" borderId="15" xfId="0" applyFont="1" applyFill="1" applyBorder="1" applyAlignment="1">
      <alignment horizontal="center" vertical="center" wrapText="1"/>
    </xf>
    <xf numFmtId="0" fontId="46" fillId="12" borderId="32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left" vertical="center" wrapText="1"/>
    </xf>
    <xf numFmtId="0" fontId="42" fillId="13" borderId="1" xfId="0" applyFont="1" applyFill="1" applyBorder="1" applyAlignment="1">
      <alignment horizontal="center" vertical="center" wrapText="1"/>
    </xf>
    <xf numFmtId="0" fontId="42" fillId="13" borderId="1" xfId="0" applyFont="1" applyFill="1" applyBorder="1" applyAlignment="1">
      <alignment horizontal="justify" vertical="center" wrapText="1"/>
    </xf>
    <xf numFmtId="0" fontId="55" fillId="15" borderId="1" xfId="0" applyFont="1" applyFill="1" applyBorder="1" applyAlignment="1">
      <alignment horizontal="center" vertical="center"/>
    </xf>
    <xf numFmtId="0" fontId="54" fillId="0" borderId="36" xfId="0" applyFont="1" applyBorder="1" applyAlignment="1">
      <alignment horizontal="left" vertical="center" wrapText="1"/>
    </xf>
    <xf numFmtId="0" fontId="54" fillId="2" borderId="36" xfId="0" applyFont="1" applyFill="1" applyBorder="1" applyAlignment="1">
      <alignment horizontal="left" vertical="center" wrapText="1"/>
    </xf>
    <xf numFmtId="0" fontId="7" fillId="19" borderId="79" xfId="0" applyFont="1" applyFill="1" applyBorder="1" applyAlignment="1">
      <alignment horizontal="center" vertical="center"/>
    </xf>
    <xf numFmtId="0" fontId="7" fillId="19" borderId="81" xfId="0" applyFont="1" applyFill="1" applyBorder="1" applyAlignment="1">
      <alignment horizontal="center" vertical="center"/>
    </xf>
    <xf numFmtId="0" fontId="7" fillId="19" borderId="82" xfId="0" applyFont="1" applyFill="1" applyBorder="1" applyAlignment="1">
      <alignment horizontal="center" vertical="center" wrapText="1"/>
    </xf>
    <xf numFmtId="0" fontId="7" fillId="19" borderId="83" xfId="0" applyFont="1" applyFill="1" applyBorder="1" applyAlignment="1">
      <alignment horizontal="center" vertical="center" wrapText="1"/>
    </xf>
    <xf numFmtId="0" fontId="7" fillId="19" borderId="84" xfId="0" applyFont="1" applyFill="1" applyBorder="1" applyAlignment="1">
      <alignment horizontal="center" vertical="center" wrapText="1"/>
    </xf>
    <xf numFmtId="0" fontId="7" fillId="19" borderId="85" xfId="0" applyFont="1" applyFill="1" applyBorder="1" applyAlignment="1">
      <alignment horizontal="center" vertical="center" wrapText="1"/>
    </xf>
    <xf numFmtId="0" fontId="27" fillId="13" borderId="8" xfId="0" applyFont="1" applyFill="1" applyBorder="1" applyAlignment="1">
      <alignment horizontal="justify" vertical="center" wrapText="1"/>
    </xf>
    <xf numFmtId="0" fontId="27" fillId="13" borderId="1" xfId="0" applyFont="1" applyFill="1" applyBorder="1" applyAlignment="1">
      <alignment horizontal="justify" vertical="center" wrapText="1"/>
    </xf>
    <xf numFmtId="0" fontId="27" fillId="13" borderId="2" xfId="0" applyFont="1" applyFill="1" applyBorder="1" applyAlignment="1">
      <alignment horizontal="center" vertical="center" wrapText="1"/>
    </xf>
    <xf numFmtId="0" fontId="27" fillId="13" borderId="22" xfId="0" applyFont="1" applyFill="1" applyBorder="1" applyAlignment="1">
      <alignment horizontal="center" vertical="center" wrapText="1"/>
    </xf>
    <xf numFmtId="0" fontId="27" fillId="13" borderId="44" xfId="0" applyFont="1" applyFill="1" applyBorder="1" applyAlignment="1">
      <alignment horizontal="center" vertical="center" wrapText="1"/>
    </xf>
    <xf numFmtId="0" fontId="27" fillId="13" borderId="46" xfId="0" applyFont="1" applyFill="1" applyBorder="1" applyAlignment="1">
      <alignment horizontal="center" vertical="center" wrapText="1"/>
    </xf>
    <xf numFmtId="0" fontId="27" fillId="13" borderId="36" xfId="0" applyFont="1" applyFill="1" applyBorder="1" applyAlignment="1">
      <alignment horizontal="center" vertical="center" wrapText="1"/>
    </xf>
    <xf numFmtId="0" fontId="27" fillId="13" borderId="45" xfId="0" applyFont="1" applyFill="1" applyBorder="1" applyAlignment="1">
      <alignment horizontal="center" vertical="center" wrapText="1"/>
    </xf>
    <xf numFmtId="164" fontId="46" fillId="5" borderId="1" xfId="0" applyNumberFormat="1" applyFont="1" applyFill="1" applyBorder="1" applyAlignment="1">
      <alignment horizontal="center" vertical="center" wrapText="1"/>
    </xf>
    <xf numFmtId="164" fontId="46" fillId="21" borderId="1" xfId="0" applyNumberFormat="1" applyFont="1" applyFill="1" applyBorder="1" applyAlignment="1">
      <alignment horizontal="center" vertical="center" wrapText="1"/>
    </xf>
    <xf numFmtId="0" fontId="46" fillId="20" borderId="1" xfId="0" applyFont="1" applyFill="1" applyBorder="1" applyAlignment="1">
      <alignment horizontal="center" vertical="center" wrapText="1"/>
    </xf>
    <xf numFmtId="164" fontId="46" fillId="0" borderId="1" xfId="0" applyNumberFormat="1" applyFont="1" applyBorder="1" applyAlignment="1">
      <alignment horizontal="center" vertical="center" wrapText="1"/>
    </xf>
    <xf numFmtId="164" fontId="46" fillId="20" borderId="1" xfId="0" applyNumberFormat="1" applyFont="1" applyFill="1" applyBorder="1" applyAlignment="1">
      <alignment horizontal="center" vertical="center" wrapText="1"/>
    </xf>
    <xf numFmtId="4" fontId="61" fillId="0" borderId="1" xfId="0" applyNumberFormat="1" applyFont="1" applyBorder="1" applyAlignment="1">
      <alignment horizontal="center" vertical="center" wrapText="1"/>
    </xf>
    <xf numFmtId="164" fontId="61" fillId="0" borderId="1" xfId="0" applyNumberFormat="1" applyFont="1" applyBorder="1" applyAlignment="1">
      <alignment horizontal="center" vertical="center" wrapText="1"/>
    </xf>
    <xf numFmtId="0" fontId="61" fillId="20" borderId="1" xfId="0" applyFont="1" applyFill="1" applyBorder="1" applyAlignment="1">
      <alignment vertical="center" wrapText="1"/>
    </xf>
    <xf numFmtId="0" fontId="61" fillId="20" borderId="1" xfId="0" applyFont="1" applyFill="1" applyBorder="1" applyAlignment="1">
      <alignment horizontal="center" vertical="center" wrapText="1"/>
    </xf>
    <xf numFmtId="0" fontId="41" fillId="20" borderId="5" xfId="0" applyFont="1" applyFill="1" applyBorder="1" applyAlignment="1">
      <alignment horizontal="center" vertical="center" wrapText="1"/>
    </xf>
    <xf numFmtId="0" fontId="41" fillId="20" borderId="21" xfId="0" applyFont="1" applyFill="1" applyBorder="1" applyAlignment="1">
      <alignment horizontal="center" vertical="center" wrapText="1"/>
    </xf>
    <xf numFmtId="0" fontId="22" fillId="20" borderId="21" xfId="0" applyFont="1" applyFill="1" applyBorder="1" applyAlignment="1">
      <alignment vertical="center" wrapText="1"/>
    </xf>
    <xf numFmtId="0" fontId="22" fillId="20" borderId="4" xfId="0" applyFont="1" applyFill="1" applyBorder="1" applyAlignment="1">
      <alignment vertical="center" wrapText="1"/>
    </xf>
    <xf numFmtId="0" fontId="40" fillId="20" borderId="5" xfId="0" applyFont="1" applyFill="1" applyBorder="1" applyAlignment="1">
      <alignment horizontal="center" vertical="center" wrapText="1"/>
    </xf>
    <xf numFmtId="0" fontId="40" fillId="20" borderId="21" xfId="0" applyFont="1" applyFill="1" applyBorder="1" applyAlignment="1">
      <alignment horizontal="center" vertical="center" wrapText="1"/>
    </xf>
    <xf numFmtId="0" fontId="41" fillId="20" borderId="4" xfId="0" applyFont="1" applyFill="1" applyBorder="1" applyAlignment="1">
      <alignment horizontal="center" vertical="center" wrapText="1"/>
    </xf>
    <xf numFmtId="165" fontId="41" fillId="0" borderId="1" xfId="0" applyNumberFormat="1" applyFont="1" applyBorder="1" applyAlignment="1">
      <alignment horizontal="center" vertical="center" wrapText="1"/>
    </xf>
    <xf numFmtId="165" fontId="65" fillId="5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left"/>
    </xf>
    <xf numFmtId="0" fontId="0" fillId="11" borderId="1" xfId="0" applyFont="1" applyFill="1" applyBorder="1" applyAlignment="1">
      <alignment horizontal="left" vertical="center" wrapText="1"/>
    </xf>
    <xf numFmtId="0" fontId="0" fillId="11" borderId="1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0" fillId="11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0" fillId="11" borderId="1" xfId="0" applyFont="1" applyFill="1" applyBorder="1" applyAlignment="1">
      <alignment horizontal="left"/>
    </xf>
    <xf numFmtId="0" fontId="22" fillId="11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left"/>
    </xf>
    <xf numFmtId="0" fontId="46" fillId="11" borderId="14" xfId="0" applyFont="1" applyFill="1" applyBorder="1" applyAlignment="1">
      <alignment horizontal="center" vertical="center" wrapText="1"/>
    </xf>
    <xf numFmtId="0" fontId="46" fillId="11" borderId="15" xfId="0" applyFont="1" applyFill="1" applyBorder="1" applyAlignment="1">
      <alignment horizontal="center" vertical="center" wrapText="1"/>
    </xf>
    <xf numFmtId="0" fontId="46" fillId="11" borderId="32" xfId="0" applyFont="1" applyFill="1" applyBorder="1" applyAlignment="1">
      <alignment horizontal="center" vertical="center" wrapText="1"/>
    </xf>
    <xf numFmtId="0" fontId="46" fillId="11" borderId="14" xfId="0" applyFont="1" applyFill="1" applyBorder="1" applyAlignment="1">
      <alignment horizontal="justify" vertical="center"/>
    </xf>
    <xf numFmtId="0" fontId="46" fillId="11" borderId="15" xfId="0" applyFont="1" applyFill="1" applyBorder="1" applyAlignment="1">
      <alignment horizontal="justify" vertical="center"/>
    </xf>
    <xf numFmtId="0" fontId="46" fillId="11" borderId="32" xfId="0" applyFont="1" applyFill="1" applyBorder="1" applyAlignment="1">
      <alignment horizontal="justify" vertical="center"/>
    </xf>
    <xf numFmtId="0" fontId="49" fillId="2" borderId="22" xfId="15" applyFont="1" applyFill="1" applyBorder="1" applyAlignment="1">
      <alignment horizontal="left"/>
    </xf>
    <xf numFmtId="0" fontId="50" fillId="2" borderId="0" xfId="15" applyFont="1" applyFill="1" applyBorder="1" applyAlignment="1">
      <alignment horizontal="left" wrapText="1"/>
    </xf>
    <xf numFmtId="0" fontId="51" fillId="2" borderId="8" xfId="15" applyFont="1" applyFill="1" applyBorder="1" applyAlignment="1">
      <alignment horizontal="left"/>
    </xf>
    <xf numFmtId="0" fontId="51" fillId="2" borderId="23" xfId="15" applyFont="1" applyFill="1" applyBorder="1" applyAlignment="1">
      <alignment horizontal="left"/>
    </xf>
    <xf numFmtId="0" fontId="51" fillId="2" borderId="3" xfId="15" applyFont="1" applyFill="1" applyBorder="1" applyAlignment="1">
      <alignment horizontal="left"/>
    </xf>
    <xf numFmtId="0" fontId="49" fillId="2" borderId="0" xfId="15" applyFont="1" applyFill="1" applyAlignment="1">
      <alignment horizontal="center"/>
    </xf>
    <xf numFmtId="0" fontId="49" fillId="2" borderId="1" xfId="15" applyFont="1" applyFill="1" applyBorder="1" applyAlignment="1">
      <alignment horizontal="left" vertical="center" wrapText="1"/>
    </xf>
    <xf numFmtId="0" fontId="49" fillId="2" borderId="8" xfId="15" applyFont="1" applyFill="1" applyBorder="1" applyAlignment="1">
      <alignment horizontal="center" vertical="center" wrapText="1"/>
    </xf>
    <xf numFmtId="0" fontId="49" fillId="2" borderId="3" xfId="15" applyFont="1" applyFill="1" applyBorder="1" applyAlignment="1">
      <alignment horizontal="center" vertical="center" wrapText="1"/>
    </xf>
    <xf numFmtId="0" fontId="49" fillId="2" borderId="8" xfId="15" applyFont="1" applyFill="1" applyBorder="1" applyAlignment="1">
      <alignment horizontal="left" vertical="center" wrapText="1"/>
    </xf>
    <xf numFmtId="0" fontId="49" fillId="2" borderId="3" xfId="15" applyFont="1" applyFill="1" applyBorder="1" applyAlignment="1">
      <alignment horizontal="left" vertical="center" wrapText="1"/>
    </xf>
    <xf numFmtId="0" fontId="49" fillId="2" borderId="1" xfId="15" applyFont="1" applyFill="1" applyBorder="1" applyAlignment="1">
      <alignment horizontal="left"/>
    </xf>
    <xf numFmtId="0" fontId="49" fillId="11" borderId="1" xfId="15" applyFont="1" applyFill="1" applyBorder="1" applyAlignment="1">
      <alignment horizontal="left" vertical="center" wrapText="1"/>
    </xf>
    <xf numFmtId="0" fontId="49" fillId="11" borderId="8" xfId="15" applyFont="1" applyFill="1" applyBorder="1" applyAlignment="1">
      <alignment horizontal="center" vertical="center" wrapText="1"/>
    </xf>
    <xf numFmtId="0" fontId="49" fillId="11" borderId="3" xfId="15" applyFont="1" applyFill="1" applyBorder="1" applyAlignment="1">
      <alignment horizontal="center" vertical="center" wrapText="1"/>
    </xf>
    <xf numFmtId="0" fontId="49" fillId="2" borderId="1" xfId="15" applyFont="1" applyFill="1" applyBorder="1" applyAlignment="1">
      <alignment horizontal="left" wrapText="1"/>
    </xf>
    <xf numFmtId="0" fontId="49" fillId="11" borderId="1" xfId="15" applyFont="1" applyFill="1" applyBorder="1" applyAlignment="1">
      <alignment horizontal="left"/>
    </xf>
    <xf numFmtId="0" fontId="49" fillId="2" borderId="1" xfId="15" applyFont="1" applyFill="1" applyBorder="1" applyAlignment="1">
      <alignment vertical="center" wrapText="1"/>
    </xf>
    <xf numFmtId="0" fontId="49" fillId="11" borderId="1" xfId="15" applyFont="1" applyFill="1" applyBorder="1" applyAlignment="1">
      <alignment vertical="center" wrapText="1"/>
    </xf>
    <xf numFmtId="0" fontId="49" fillId="2" borderId="1" xfId="15" applyFont="1" applyFill="1" applyBorder="1" applyAlignment="1">
      <alignment horizontal="center" vertical="center" wrapText="1"/>
    </xf>
    <xf numFmtId="0" fontId="48" fillId="11" borderId="2" xfId="0" applyFont="1" applyFill="1" applyBorder="1" applyAlignment="1">
      <alignment horizontal="center" vertical="center" wrapText="1"/>
    </xf>
    <xf numFmtId="0" fontId="48" fillId="11" borderId="22" xfId="0" applyFont="1" applyFill="1" applyBorder="1" applyAlignment="1">
      <alignment horizontal="center" vertical="center" wrapText="1"/>
    </xf>
    <xf numFmtId="0" fontId="48" fillId="11" borderId="44" xfId="0" applyFont="1" applyFill="1" applyBorder="1" applyAlignment="1">
      <alignment horizontal="center" vertical="center" wrapText="1"/>
    </xf>
    <xf numFmtId="0" fontId="48" fillId="11" borderId="46" xfId="0" applyFont="1" applyFill="1" applyBorder="1" applyAlignment="1">
      <alignment horizontal="center" vertical="center" wrapText="1"/>
    </xf>
    <xf numFmtId="0" fontId="48" fillId="11" borderId="36" xfId="0" applyFont="1" applyFill="1" applyBorder="1" applyAlignment="1">
      <alignment horizontal="center" vertical="center" wrapText="1"/>
    </xf>
    <xf numFmtId="0" fontId="48" fillId="11" borderId="45" xfId="0" applyFont="1" applyFill="1" applyBorder="1" applyAlignment="1">
      <alignment horizontal="center" vertical="center" wrapText="1"/>
    </xf>
    <xf numFmtId="0" fontId="49" fillId="11" borderId="1" xfId="15" applyFont="1" applyFill="1" applyBorder="1" applyAlignment="1">
      <alignment horizontal="left" vertical="top" wrapText="1"/>
    </xf>
    <xf numFmtId="0" fontId="48" fillId="11" borderId="2" xfId="15" applyFont="1" applyFill="1" applyBorder="1" applyAlignment="1">
      <alignment horizontal="center" vertical="center" wrapText="1"/>
    </xf>
    <xf numFmtId="0" fontId="48" fillId="11" borderId="22" xfId="15" applyFont="1" applyFill="1" applyBorder="1" applyAlignment="1">
      <alignment horizontal="center" vertical="center" wrapText="1"/>
    </xf>
    <xf numFmtId="0" fontId="48" fillId="11" borderId="44" xfId="15" applyFont="1" applyFill="1" applyBorder="1" applyAlignment="1">
      <alignment horizontal="center" vertical="center" wrapText="1"/>
    </xf>
    <xf numFmtId="0" fontId="48" fillId="11" borderId="34" xfId="15" applyFont="1" applyFill="1" applyBorder="1" applyAlignment="1">
      <alignment horizontal="center" vertical="center" wrapText="1"/>
    </xf>
    <xf numFmtId="0" fontId="48" fillId="11" borderId="0" xfId="15" applyFont="1" applyFill="1" applyBorder="1" applyAlignment="1">
      <alignment horizontal="center" vertical="center" wrapText="1"/>
    </xf>
    <xf numFmtId="0" fontId="48" fillId="11" borderId="78" xfId="15" applyFont="1" applyFill="1" applyBorder="1" applyAlignment="1">
      <alignment horizontal="center" vertical="center" wrapText="1"/>
    </xf>
    <xf numFmtId="0" fontId="48" fillId="11" borderId="46" xfId="15" applyFont="1" applyFill="1" applyBorder="1" applyAlignment="1">
      <alignment horizontal="center" vertical="center" wrapText="1"/>
    </xf>
    <xf numFmtId="0" fontId="48" fillId="11" borderId="36" xfId="15" applyFont="1" applyFill="1" applyBorder="1" applyAlignment="1">
      <alignment horizontal="center" vertical="center" wrapText="1"/>
    </xf>
    <xf numFmtId="0" fontId="48" fillId="11" borderId="45" xfId="15" applyFont="1" applyFill="1" applyBorder="1" applyAlignment="1">
      <alignment horizontal="center" vertical="center" wrapText="1"/>
    </xf>
    <xf numFmtId="0" fontId="41" fillId="2" borderId="69" xfId="0" applyFont="1" applyFill="1" applyBorder="1" applyAlignment="1">
      <alignment vertical="center" wrapText="1"/>
    </xf>
    <xf numFmtId="0" fontId="41" fillId="2" borderId="70" xfId="0" applyFont="1" applyFill="1" applyBorder="1" applyAlignment="1">
      <alignment vertical="center" wrapText="1"/>
    </xf>
    <xf numFmtId="0" fontId="41" fillId="2" borderId="71" xfId="0" applyFont="1" applyFill="1" applyBorder="1" applyAlignment="1">
      <alignment vertical="center" wrapText="1"/>
    </xf>
    <xf numFmtId="0" fontId="41" fillId="2" borderId="67" xfId="0" applyFont="1" applyFill="1" applyBorder="1" applyAlignment="1">
      <alignment vertical="center" wrapText="1"/>
    </xf>
    <xf numFmtId="0" fontId="41" fillId="2" borderId="58" xfId="0" applyFont="1" applyFill="1" applyBorder="1" applyAlignment="1">
      <alignment vertical="center" wrapText="1"/>
    </xf>
    <xf numFmtId="0" fontId="41" fillId="2" borderId="59" xfId="0" applyFont="1" applyFill="1" applyBorder="1" applyAlignment="1">
      <alignment vertical="center" wrapText="1"/>
    </xf>
    <xf numFmtId="0" fontId="41" fillId="2" borderId="57" xfId="0" applyFont="1" applyFill="1" applyBorder="1" applyAlignment="1">
      <alignment vertical="center" wrapText="1"/>
    </xf>
    <xf numFmtId="0" fontId="41" fillId="11" borderId="69" xfId="0" applyFont="1" applyFill="1" applyBorder="1" applyAlignment="1">
      <alignment horizontal="left" vertical="center" wrapText="1" indent="1"/>
    </xf>
    <xf numFmtId="0" fontId="41" fillId="11" borderId="71" xfId="0" applyFont="1" applyFill="1" applyBorder="1" applyAlignment="1">
      <alignment horizontal="left" vertical="center" wrapText="1" indent="1"/>
    </xf>
    <xf numFmtId="0" fontId="41" fillId="2" borderId="39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vertical="center" wrapText="1"/>
    </xf>
    <xf numFmtId="0" fontId="41" fillId="2" borderId="61" xfId="0" applyFont="1" applyFill="1" applyBorder="1" applyAlignment="1">
      <alignment horizontal="center" vertical="center" wrapText="1"/>
    </xf>
    <xf numFmtId="0" fontId="41" fillId="2" borderId="65" xfId="0" applyFont="1" applyFill="1" applyBorder="1" applyAlignment="1">
      <alignment horizontal="center" vertical="center" wrapText="1"/>
    </xf>
    <xf numFmtId="0" fontId="41" fillId="2" borderId="63" xfId="0" applyFont="1" applyFill="1" applyBorder="1" applyAlignment="1">
      <alignment horizontal="center" vertical="center" wrapText="1"/>
    </xf>
    <xf numFmtId="0" fontId="41" fillId="2" borderId="62" xfId="0" applyFont="1" applyFill="1" applyBorder="1" applyAlignment="1">
      <alignment horizontal="center" vertical="center" wrapText="1"/>
    </xf>
    <xf numFmtId="0" fontId="41" fillId="2" borderId="67" xfId="0" applyFont="1" applyFill="1" applyBorder="1" applyAlignment="1">
      <alignment horizontal="center" vertical="center" wrapText="1"/>
    </xf>
    <xf numFmtId="0" fontId="41" fillId="2" borderId="58" xfId="0" applyFont="1" applyFill="1" applyBorder="1" applyAlignment="1">
      <alignment horizontal="center" vertical="center" wrapText="1"/>
    </xf>
    <xf numFmtId="0" fontId="41" fillId="2" borderId="59" xfId="0" applyFont="1" applyFill="1" applyBorder="1" applyAlignment="1">
      <alignment horizontal="center" vertical="center" wrapText="1"/>
    </xf>
    <xf numFmtId="0" fontId="22" fillId="11" borderId="77" xfId="0" applyFont="1" applyFill="1" applyBorder="1" applyAlignment="1">
      <alignment vertical="center" wrapText="1"/>
    </xf>
    <xf numFmtId="0" fontId="22" fillId="11" borderId="30" xfId="0" applyFont="1" applyFill="1" applyBorder="1" applyAlignment="1">
      <alignment vertical="center" wrapText="1"/>
    </xf>
    <xf numFmtId="0" fontId="22" fillId="11" borderId="72" xfId="0" applyFont="1" applyFill="1" applyBorder="1" applyAlignment="1">
      <alignment vertical="center" wrapText="1"/>
    </xf>
    <xf numFmtId="0" fontId="41" fillId="11" borderId="76" xfId="0" applyFont="1" applyFill="1" applyBorder="1" applyAlignment="1">
      <alignment vertical="center" wrapText="1"/>
    </xf>
    <xf numFmtId="0" fontId="41" fillId="11" borderId="38" xfId="0" applyFont="1" applyFill="1" applyBorder="1" applyAlignment="1">
      <alignment vertical="center" wrapText="1"/>
    </xf>
    <xf numFmtId="0" fontId="41" fillId="11" borderId="16" xfId="0" applyFont="1" applyFill="1" applyBorder="1" applyAlignment="1">
      <alignment vertical="center" wrapText="1"/>
    </xf>
    <xf numFmtId="0" fontId="41" fillId="11" borderId="60" xfId="0" applyFont="1" applyFill="1" applyBorder="1" applyAlignment="1">
      <alignment vertical="center" wrapText="1"/>
    </xf>
    <xf numFmtId="0" fontId="41" fillId="11" borderId="0" xfId="0" applyFont="1" applyFill="1" applyBorder="1" applyAlignment="1">
      <alignment vertical="center" wrapText="1"/>
    </xf>
    <xf numFmtId="0" fontId="41" fillId="11" borderId="17" xfId="0" applyFont="1" applyFill="1" applyBorder="1" applyAlignment="1">
      <alignment vertical="center" wrapText="1"/>
    </xf>
    <xf numFmtId="0" fontId="22" fillId="11" borderId="60" xfId="0" applyFont="1" applyFill="1" applyBorder="1" applyAlignment="1">
      <alignment vertical="center" wrapText="1"/>
    </xf>
    <xf numFmtId="0" fontId="22" fillId="11" borderId="0" xfId="0" applyFont="1" applyFill="1" applyBorder="1" applyAlignment="1">
      <alignment vertical="center" wrapText="1"/>
    </xf>
    <xf numFmtId="0" fontId="22" fillId="11" borderId="17" xfId="0" applyFont="1" applyFill="1" applyBorder="1" applyAlignment="1">
      <alignment vertical="center" wrapText="1"/>
    </xf>
    <xf numFmtId="0" fontId="22" fillId="11" borderId="31" xfId="0" applyFont="1" applyFill="1" applyBorder="1" applyAlignment="1">
      <alignment vertical="center" wrapText="1"/>
    </xf>
    <xf numFmtId="0" fontId="41" fillId="11" borderId="37" xfId="0" applyFont="1" applyFill="1" applyBorder="1" applyAlignment="1">
      <alignment horizontal="right" vertical="center" wrapText="1"/>
    </xf>
    <xf numFmtId="0" fontId="41" fillId="11" borderId="38" xfId="0" applyFont="1" applyFill="1" applyBorder="1" applyAlignment="1">
      <alignment horizontal="right" vertical="center" wrapText="1"/>
    </xf>
    <xf numFmtId="0" fontId="41" fillId="11" borderId="38" xfId="0" applyFont="1" applyFill="1" applyBorder="1" applyAlignment="1">
      <alignment horizontal="left" vertical="center" wrapText="1" indent="4"/>
    </xf>
    <xf numFmtId="0" fontId="41" fillId="11" borderId="16" xfId="0" applyFont="1" applyFill="1" applyBorder="1" applyAlignment="1">
      <alignment horizontal="left" vertical="center" wrapText="1" indent="4"/>
    </xf>
    <xf numFmtId="0" fontId="41" fillId="11" borderId="37" xfId="0" applyFont="1" applyFill="1" applyBorder="1" applyAlignment="1">
      <alignment horizontal="left" vertical="center" wrapText="1" indent="1"/>
    </xf>
    <xf numFmtId="0" fontId="41" fillId="11" borderId="75" xfId="0" applyFont="1" applyFill="1" applyBorder="1" applyAlignment="1">
      <alignment horizontal="left" vertical="center" wrapText="1" indent="1"/>
    </xf>
    <xf numFmtId="0" fontId="41" fillId="11" borderId="39" xfId="0" applyFont="1" applyFill="1" applyBorder="1" applyAlignment="1">
      <alignment horizontal="left" vertical="center" wrapText="1" indent="1"/>
    </xf>
    <xf numFmtId="0" fontId="41" fillId="11" borderId="61" xfId="0" applyFont="1" applyFill="1" applyBorder="1" applyAlignment="1">
      <alignment horizontal="left" vertical="center" wrapText="1" indent="1"/>
    </xf>
    <xf numFmtId="0" fontId="41" fillId="11" borderId="65" xfId="0" applyFont="1" applyFill="1" applyBorder="1" applyAlignment="1">
      <alignment horizontal="left" vertical="center" wrapText="1" indent="1"/>
    </xf>
    <xf numFmtId="0" fontId="41" fillId="11" borderId="62" xfId="0" applyFont="1" applyFill="1" applyBorder="1" applyAlignment="1">
      <alignment horizontal="left" vertical="center" wrapText="1" indent="1"/>
    </xf>
    <xf numFmtId="0" fontId="40" fillId="11" borderId="76" xfId="0" applyFont="1" applyFill="1" applyBorder="1" applyAlignment="1">
      <alignment horizontal="left" vertical="center" wrapText="1" indent="4"/>
    </xf>
    <xf numFmtId="0" fontId="40" fillId="11" borderId="38" xfId="0" applyFont="1" applyFill="1" applyBorder="1" applyAlignment="1">
      <alignment horizontal="left" vertical="center" wrapText="1" indent="4"/>
    </xf>
    <xf numFmtId="0" fontId="40" fillId="11" borderId="75" xfId="0" applyFont="1" applyFill="1" applyBorder="1" applyAlignment="1">
      <alignment horizontal="left" vertical="center" wrapText="1" indent="4"/>
    </xf>
    <xf numFmtId="0" fontId="40" fillId="11" borderId="60" xfId="0" applyFont="1" applyFill="1" applyBorder="1" applyAlignment="1">
      <alignment horizontal="center" vertical="center" wrapText="1"/>
    </xf>
    <xf numFmtId="0" fontId="40" fillId="11" borderId="0" xfId="0" applyFont="1" applyFill="1" applyBorder="1" applyAlignment="1">
      <alignment horizontal="center" vertical="center" wrapText="1"/>
    </xf>
    <xf numFmtId="0" fontId="40" fillId="11" borderId="61" xfId="0" applyFont="1" applyFill="1" applyBorder="1" applyAlignment="1">
      <alignment horizontal="center" vertical="center" wrapText="1"/>
    </xf>
    <xf numFmtId="0" fontId="22" fillId="11" borderId="61" xfId="0" applyFont="1" applyFill="1" applyBorder="1" applyAlignment="1">
      <alignment vertical="center" wrapText="1"/>
    </xf>
    <xf numFmtId="0" fontId="30" fillId="11" borderId="39" xfId="0" applyFont="1" applyFill="1" applyBorder="1" applyAlignment="1">
      <alignment horizontal="center" vertical="center" wrapText="1"/>
    </xf>
    <xf numFmtId="0" fontId="30" fillId="11" borderId="0" xfId="0" applyFont="1" applyFill="1" applyBorder="1" applyAlignment="1">
      <alignment horizontal="center" vertical="center" wrapText="1"/>
    </xf>
    <xf numFmtId="0" fontId="30" fillId="11" borderId="38" xfId="0" applyFont="1" applyFill="1" applyBorder="1" applyAlignment="1">
      <alignment horizontal="left" vertical="center" wrapText="1"/>
    </xf>
    <xf numFmtId="0" fontId="30" fillId="11" borderId="0" xfId="0" applyFont="1" applyFill="1" applyBorder="1" applyAlignment="1">
      <alignment horizontal="left" vertical="center" wrapText="1"/>
    </xf>
    <xf numFmtId="0" fontId="32" fillId="11" borderId="30" xfId="0" applyFont="1" applyFill="1" applyBorder="1" applyAlignment="1">
      <alignment horizontal="left" vertical="center" wrapText="1"/>
    </xf>
    <xf numFmtId="0" fontId="32" fillId="11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wrapText="1"/>
    </xf>
    <xf numFmtId="0" fontId="25" fillId="2" borderId="8" xfId="0" applyFont="1" applyFill="1" applyBorder="1" applyAlignment="1">
      <alignment horizontal="left"/>
    </xf>
    <xf numFmtId="0" fontId="25" fillId="2" borderId="23" xfId="0" applyFont="1" applyFill="1" applyBorder="1" applyAlignment="1">
      <alignment horizontal="left"/>
    </xf>
    <xf numFmtId="0" fontId="25" fillId="2" borderId="3" xfId="0" applyFont="1" applyFill="1" applyBorder="1" applyAlignment="1">
      <alignment horizontal="left"/>
    </xf>
    <xf numFmtId="0" fontId="0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left" vertical="top" wrapText="1"/>
    </xf>
    <xf numFmtId="0" fontId="19" fillId="11" borderId="1" xfId="0" applyFont="1" applyFill="1" applyBorder="1" applyAlignment="1">
      <alignment horizontal="center" vertical="top" wrapText="1"/>
    </xf>
    <xf numFmtId="0" fontId="16" fillId="11" borderId="1" xfId="0" applyFont="1" applyFill="1" applyBorder="1" applyAlignment="1">
      <alignment vertical="center" wrapText="1"/>
    </xf>
    <xf numFmtId="0" fontId="0" fillId="22" borderId="7" xfId="0" applyFill="1" applyBorder="1"/>
  </cellXfs>
  <cellStyles count="16">
    <cellStyle name="Hiperłącze" xfId="14" builtinId="8"/>
    <cellStyle name="Normalny" xfId="0" builtinId="0"/>
    <cellStyle name="Normalny 2" xfId="15" xr:uid="{00000000-0005-0000-0000-000002000000}"/>
    <cellStyle name="S10" xfId="6" xr:uid="{00000000-0005-0000-0000-000003000000}"/>
    <cellStyle name="S11" xfId="1" xr:uid="{00000000-0005-0000-0000-000004000000}"/>
    <cellStyle name="S12" xfId="7" xr:uid="{00000000-0005-0000-0000-000005000000}"/>
    <cellStyle name="S15" xfId="8" xr:uid="{00000000-0005-0000-0000-000006000000}"/>
    <cellStyle name="S16" xfId="3" xr:uid="{00000000-0005-0000-0000-000007000000}"/>
    <cellStyle name="S17" xfId="5" xr:uid="{00000000-0005-0000-0000-000008000000}"/>
    <cellStyle name="S18" xfId="2" xr:uid="{00000000-0005-0000-0000-000009000000}"/>
    <cellStyle name="S21" xfId="13" xr:uid="{00000000-0005-0000-0000-00000A000000}"/>
    <cellStyle name="S25" xfId="10" xr:uid="{00000000-0005-0000-0000-00000B000000}"/>
    <cellStyle name="S26" xfId="11" xr:uid="{00000000-0005-0000-0000-00000C000000}"/>
    <cellStyle name="S27" xfId="12" xr:uid="{00000000-0005-0000-0000-00000D000000}"/>
    <cellStyle name="S7" xfId="9" xr:uid="{00000000-0005-0000-0000-00000E000000}"/>
    <cellStyle name="S9" xfId="4" xr:uid="{00000000-0005-0000-0000-00000F000000}"/>
  </cellStyles>
  <dxfs count="0"/>
  <tableStyles count="0" defaultTableStyle="TableStyleMedium2" defaultPivotStyle="PivotStyleLight16"/>
  <colors>
    <mruColors>
      <color rgb="FF0000FF"/>
      <color rgb="FF99CCFF"/>
      <color rgb="FFDCE6F2"/>
      <color rgb="FFFFC30A"/>
      <color rgb="FFFFAF60"/>
      <color rgb="FFFFB64E"/>
      <color rgb="FFDB9C99"/>
      <color rgb="FFFF8585"/>
      <color rgb="FF66FF33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048692037579222E-2"/>
          <c:y val="5.8148022455336748E-2"/>
          <c:w val="0.96411791913665212"/>
          <c:h val="0.712051691644694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'15-21'!$C$2</c:f>
              <c:strCache>
                <c:ptCount val="1"/>
                <c:pt idx="0">
                  <c:v>Efektywność zatrudnieniowa (w proc.)</c:v>
                </c:pt>
              </c:strCache>
            </c:strRef>
          </c:tx>
          <c:spPr>
            <a:gradFill flip="none" rotWithShape="1">
              <a:gsLst>
                <a:gs pos="100000">
                  <a:srgbClr val="F06D0A"/>
                </a:gs>
                <a:gs pos="37000">
                  <a:srgbClr val="FF9900"/>
                </a:gs>
                <a:gs pos="0">
                  <a:srgbClr val="FFC000"/>
                </a:gs>
              </a:gsLst>
              <a:path path="circle">
                <a:fillToRect l="100000" t="100000"/>
              </a:path>
              <a:tileRect r="-100000" b="-100000"/>
            </a:gradFill>
            <a:scene3d>
              <a:camera prst="orthographicFront"/>
              <a:lightRig rig="threePt" dir="t"/>
            </a:scene3d>
            <a:sp3d prstMaterial="matte">
              <a:bevelT prst="angle"/>
              <a:bevelB prst="angle"/>
            </a:sp3d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98F-4802-AADA-79B61E3287D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98F-4802-AADA-79B61E3287D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98F-4802-AADA-79B61E3287DE}"/>
              </c:ext>
            </c:extLst>
          </c:dPt>
          <c:dPt>
            <c:idx val="5"/>
            <c:invertIfNegative val="0"/>
            <c:bubble3D val="0"/>
            <c:spPr>
              <a:gradFill flip="none" rotWithShape="1">
                <a:gsLst>
                  <a:gs pos="100000">
                    <a:srgbClr val="F06D0A"/>
                  </a:gs>
                  <a:gs pos="37000">
                    <a:srgbClr val="FF9900"/>
                  </a:gs>
                  <a:gs pos="0">
                    <a:srgbClr val="FFC000"/>
                  </a:gs>
                </a:gsLst>
                <a:path path="circle">
                  <a:fillToRect l="100000" t="100000"/>
                </a:path>
                <a:tileRect r="-100000" b="-100000"/>
              </a:gradFill>
              <a:scene3d>
                <a:camera prst="orthographicFront"/>
                <a:lightRig rig="threePt" dir="t"/>
              </a:scene3d>
              <a:sp3d prstMaterial="matte">
                <a:bevelT prst="angle"/>
                <a:bevelB prst="angle"/>
              </a:sp3d>
            </c:spPr>
            <c:extLst>
              <c:ext xmlns:c16="http://schemas.microsoft.com/office/drawing/2014/chart" uri="{C3380CC4-5D6E-409C-BE32-E72D297353CC}">
                <c16:uniqueId val="{00000004-898F-4802-AADA-79B61E3287DE}"/>
              </c:ext>
            </c:extLst>
          </c:dPt>
          <c:dPt>
            <c:idx val="6"/>
            <c:invertIfNegative val="0"/>
            <c:bubble3D val="0"/>
            <c:spPr>
              <a:gradFill flip="none" rotWithShape="1">
                <a:gsLst>
                  <a:gs pos="100000">
                    <a:srgbClr val="F06D0A"/>
                  </a:gs>
                  <a:gs pos="37000">
                    <a:srgbClr val="FF9900"/>
                  </a:gs>
                  <a:gs pos="0">
                    <a:srgbClr val="FFC000"/>
                  </a:gs>
                </a:gsLst>
                <a:path path="circle">
                  <a:fillToRect l="100000" t="100000"/>
                </a:path>
                <a:tileRect r="-100000" b="-100000"/>
              </a:gradFill>
              <a:scene3d>
                <a:camera prst="orthographicFront"/>
                <a:lightRig rig="threePt" dir="t"/>
              </a:scene3d>
              <a:sp3d prstMaterial="matte">
                <a:bevelT prst="angle"/>
                <a:bevelB prst="angle"/>
              </a:sp3d>
            </c:spPr>
            <c:extLst>
              <c:ext xmlns:c16="http://schemas.microsoft.com/office/drawing/2014/chart" uri="{C3380CC4-5D6E-409C-BE32-E72D297353CC}">
                <c16:uniqueId val="{00000006-898F-4802-AADA-79B61E3287D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98F-4802-AADA-79B61E3287D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98F-4802-AADA-79B61E3287DE}"/>
              </c:ext>
            </c:extLst>
          </c:dPt>
          <c:dLbls>
            <c:dLbl>
              <c:idx val="0"/>
              <c:layout>
                <c:manualLayout>
                  <c:x val="-2.5049005935708925E-3"/>
                  <c:y val="0.15965978732193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8F-4802-AADA-79B61E3287DE}"/>
                </c:ext>
              </c:extLst>
            </c:dLbl>
            <c:dLbl>
              <c:idx val="1"/>
              <c:layout>
                <c:manualLayout>
                  <c:x val="-2.5257207506255868E-3"/>
                  <c:y val="0.145532789938083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8F-4802-AADA-79B61E3287DE}"/>
                </c:ext>
              </c:extLst>
            </c:dLbl>
            <c:dLbl>
              <c:idx val="2"/>
              <c:layout>
                <c:manualLayout>
                  <c:x val="1.041007852734708E-5"/>
                  <c:y val="0.155088480427011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98F-4802-AADA-79B61E3287DE}"/>
                </c:ext>
              </c:extLst>
            </c:dLbl>
            <c:dLbl>
              <c:idx val="3"/>
              <c:layout>
                <c:manualLayout>
                  <c:x val="-2.4944905150435454E-3"/>
                  <c:y val="0.154881942077467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8F-4802-AADA-79B61E3287DE}"/>
                </c:ext>
              </c:extLst>
            </c:dLbl>
            <c:dLbl>
              <c:idx val="4"/>
              <c:layout>
                <c:manualLayout>
                  <c:x val="-4.9785709515597441E-3"/>
                  <c:y val="0.140651863622991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8F-4802-AADA-79B61E3287DE}"/>
                </c:ext>
              </c:extLst>
            </c:dLbl>
            <c:dLbl>
              <c:idx val="5"/>
              <c:layout>
                <c:manualLayout>
                  <c:x val="2.5153106720982397E-3"/>
                  <c:y val="0.140548406344075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8F-4802-AADA-79B61E3287DE}"/>
                </c:ext>
              </c:extLst>
            </c:dLbl>
            <c:dLbl>
              <c:idx val="6"/>
              <c:layout>
                <c:manualLayout>
                  <c:x val="-1.9641657598768075E-7"/>
                  <c:y val="0.135874018378527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8F-4802-AADA-79B61E3287DE}"/>
                </c:ext>
              </c:extLst>
            </c:dLbl>
            <c:dLbl>
              <c:idx val="7"/>
              <c:layout>
                <c:manualLayout>
                  <c:x val="4.9889810300870908E-3"/>
                  <c:y val="0.130584153655503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8F-4802-AADA-79B61E3287DE}"/>
                </c:ext>
              </c:extLst>
            </c:dLbl>
            <c:dLbl>
              <c:idx val="8"/>
              <c:layout>
                <c:manualLayout>
                  <c:x val="7.483471545130637E-3"/>
                  <c:y val="0.1337796668449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8F-4802-AADA-79B61E3287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'15-21'!$B$3:$B$11</c:f>
              <c:strCache>
                <c:ptCount val="9"/>
                <c:pt idx="0">
                  <c:v>Dofinansowanie działalności gospodarczej</c:v>
                </c:pt>
                <c:pt idx="1">
                  <c:v>Roboty publiczne</c:v>
                </c:pt>
                <c:pt idx="2">
                  <c:v>Prace interwencyjne</c:v>
                </c:pt>
                <c:pt idx="3">
                  <c:v>Bon na zasiedlenie</c:v>
                </c:pt>
                <c:pt idx="4">
                  <c:v>Refundacja kosztów wyposażenia lub doposażenia miejsca pracy</c:v>
                </c:pt>
                <c:pt idx="5">
                  <c:v>Razem 7 podstawowych form</c:v>
                </c:pt>
                <c:pt idx="6">
                  <c:v>Razem 6 form (do por.)</c:v>
                </c:pt>
                <c:pt idx="7">
                  <c:v>Staże</c:v>
                </c:pt>
                <c:pt idx="8">
                  <c:v>Szkolenia</c:v>
                </c:pt>
              </c:strCache>
            </c:strRef>
          </c:cat>
          <c:val>
            <c:numRef>
              <c:f>'15-21'!$C$3:$C$11</c:f>
              <c:numCache>
                <c:formatCode>0.0</c:formatCode>
                <c:ptCount val="9"/>
                <c:pt idx="0">
                  <c:v>95.395869191049911</c:v>
                </c:pt>
                <c:pt idx="1">
                  <c:v>94.23585404547859</c:v>
                </c:pt>
                <c:pt idx="2">
                  <c:v>93.357320786050366</c:v>
                </c:pt>
                <c:pt idx="3">
                  <c:v>91.208791208791212</c:v>
                </c:pt>
                <c:pt idx="4">
                  <c:v>90.28831562974203</c:v>
                </c:pt>
                <c:pt idx="5">
                  <c:v>86.886017680598414</c:v>
                </c:pt>
                <c:pt idx="6">
                  <c:v>86.64716272907927</c:v>
                </c:pt>
                <c:pt idx="7">
                  <c:v>85.071629401526309</c:v>
                </c:pt>
                <c:pt idx="8">
                  <c:v>52.031978680879412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98F-4802-AADA-79B61E3287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207615104"/>
        <c:axId val="207725312"/>
      </c:barChart>
      <c:catAx>
        <c:axId val="20761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55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7725312"/>
        <c:crosses val="autoZero"/>
        <c:auto val="1"/>
        <c:lblAlgn val="ctr"/>
        <c:lblOffset val="100"/>
        <c:noMultiLvlLbl val="0"/>
      </c:catAx>
      <c:valAx>
        <c:axId val="207725312"/>
        <c:scaling>
          <c:orientation val="minMax"/>
        </c:scaling>
        <c:delete val="0"/>
        <c:axPos val="l"/>
        <c:majorGridlines>
          <c:spPr>
            <a:ln>
              <a:solidFill>
                <a:srgbClr val="C00000">
                  <a:alpha val="27000"/>
                </a:srgbClr>
              </a:solidFill>
            </a:ln>
          </c:spPr>
        </c:majorGridlines>
        <c:minorGridlines>
          <c:spPr>
            <a:ln>
              <a:solidFill>
                <a:schemeClr val="accent6">
                  <a:lumMod val="75000"/>
                  <a:alpha val="17000"/>
                </a:scheme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ln>
            <a:solidFill>
              <a:srgbClr val="C00000"/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0761510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F9F9F9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07931751573229E-2"/>
          <c:y val="6.029316073350463E-2"/>
          <c:w val="0.90318852591938592"/>
          <c:h val="0.777092406225036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EKiZ!$K$17</c:f>
              <c:strCache>
                <c:ptCount val="1"/>
                <c:pt idx="0">
                  <c:v>wskaźnik efektywności kosztowej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40000"/>
                    <a:lumOff val="60000"/>
                  </a:schemeClr>
                </a:gs>
                <a:gs pos="83000">
                  <a:schemeClr val="tx2">
                    <a:lumMod val="75000"/>
                  </a:schemeClr>
                </a:gs>
                <a:gs pos="12000">
                  <a:schemeClr val="tx2">
                    <a:lumMod val="60000"/>
                    <a:lumOff val="40000"/>
                  </a:schemeClr>
                </a:gs>
                <a:gs pos="99000">
                  <a:srgbClr val="202C27">
                    <a:lumMod val="63000"/>
                  </a:srgbClr>
                </a:gs>
              </a:gsLst>
              <a:lin ang="540000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7.8227466685341376E-4"/>
                  <c:y val="0.234265318140344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86-4EF2-831E-5AB566FF489B}"/>
                </c:ext>
              </c:extLst>
            </c:dLbl>
            <c:dLbl>
              <c:idx val="1"/>
              <c:layout>
                <c:manualLayout>
                  <c:x val="-2.4413122327926356E-3"/>
                  <c:y val="0.305142291302911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86-4EF2-831E-5AB566FF489B}"/>
                </c:ext>
              </c:extLst>
            </c:dLbl>
            <c:dLbl>
              <c:idx val="2"/>
              <c:layout>
                <c:manualLayout>
                  <c:x val="1.4373747653244667E-3"/>
                  <c:y val="0.311332968913174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86-4EF2-831E-5AB566FF489B}"/>
                </c:ext>
              </c:extLst>
            </c:dLbl>
            <c:dLbl>
              <c:idx val="3"/>
              <c:layout>
                <c:manualLayout>
                  <c:x val="-2.1768001175610039E-3"/>
                  <c:y val="0.309548821396168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86-4EF2-831E-5AB566FF489B}"/>
                </c:ext>
              </c:extLst>
            </c:dLbl>
            <c:dLbl>
              <c:idx val="4"/>
              <c:layout>
                <c:manualLayout>
                  <c:x val="1.9650256203194287E-3"/>
                  <c:y val="0.30981105965379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86-4EF2-831E-5AB566FF489B}"/>
                </c:ext>
              </c:extLst>
            </c:dLbl>
            <c:dLbl>
              <c:idx val="5"/>
              <c:layout>
                <c:manualLayout>
                  <c:x val="8.2402528109562403E-6"/>
                  <c:y val="0.305087164596495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86-4EF2-831E-5AB566FF489B}"/>
                </c:ext>
              </c:extLst>
            </c:dLbl>
            <c:dLbl>
              <c:idx val="6"/>
              <c:layout>
                <c:manualLayout>
                  <c:x val="3.4924938163768252E-3"/>
                  <c:y val="0.248218042095165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86-4EF2-831E-5AB566FF489B}"/>
                </c:ext>
              </c:extLst>
            </c:dLbl>
            <c:dLbl>
              <c:idx val="7"/>
              <c:layout>
                <c:manualLayout>
                  <c:x val="3.4883736899714748E-3"/>
                  <c:y val="0.214992609414920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DD-436D-86CF-685C1E1DB9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EKiZ!$K$18:$K$25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EKiZ!$L$18:$L$25</c:f>
              <c:numCache>
                <c:formatCode>#\ ##0.0</c:formatCode>
                <c:ptCount val="8"/>
                <c:pt idx="0">
                  <c:v>13936.626184834126</c:v>
                </c:pt>
                <c:pt idx="1">
                  <c:v>11585.453150965106</c:v>
                </c:pt>
                <c:pt idx="2">
                  <c:v>11606.618338031951</c:v>
                </c:pt>
                <c:pt idx="3">
                  <c:v>10428.115677028198</c:v>
                </c:pt>
                <c:pt idx="4">
                  <c:v>10347.87357657448</c:v>
                </c:pt>
                <c:pt idx="5">
                  <c:v>10736.48195081855</c:v>
                </c:pt>
                <c:pt idx="6">
                  <c:v>15320.115876910426</c:v>
                </c:pt>
                <c:pt idx="7">
                  <c:v>17253.479125827813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7-4786-4EF2-831E-5AB566FF4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09177600"/>
        <c:axId val="209212160"/>
        <c:axId val="0"/>
      </c:bar3DChart>
      <c:catAx>
        <c:axId val="20917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09212160"/>
        <c:crosses val="autoZero"/>
        <c:auto val="0"/>
        <c:lblAlgn val="ctr"/>
        <c:lblOffset val="100"/>
        <c:noMultiLvlLbl val="0"/>
      </c:catAx>
      <c:valAx>
        <c:axId val="20921216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09177600"/>
        <c:crosses val="autoZero"/>
        <c:crossBetween val="between"/>
        <c:majorUnit val="1500"/>
        <c:minorUnit val="500"/>
      </c:valAx>
    </c:plotArea>
    <c:legend>
      <c:legendPos val="r"/>
      <c:layout>
        <c:manualLayout>
          <c:xMode val="edge"/>
          <c:yMode val="edge"/>
          <c:x val="3.0835201872016948E-2"/>
          <c:y val="0.91321304720340157"/>
          <c:w val="0.73827378720517078"/>
          <c:h val="5.6102284244172441E-2"/>
        </c:manualLayout>
      </c:layout>
      <c:overlay val="0"/>
      <c:txPr>
        <a:bodyPr/>
        <a:lstStyle/>
        <a:p>
          <a:pPr>
            <a:defRPr sz="9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F9F9F9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929541452612178E-2"/>
          <c:y val="6.62990048572904E-2"/>
          <c:w val="0.90026098563253909"/>
          <c:h val="0.852254939950320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b!$G$2</c:f>
              <c:strCache>
                <c:ptCount val="1"/>
                <c:pt idx="0">
                  <c:v>Wskaźnik efekt. kosztowej, Podkarpackie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7.9728646916363234E-4"/>
                  <c:y val="0.2001194563834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F7-488B-8996-15709F8D639D}"/>
                </c:ext>
              </c:extLst>
            </c:dLbl>
            <c:dLbl>
              <c:idx val="1"/>
              <c:layout>
                <c:manualLayout>
                  <c:x val="1.0919488450133836E-3"/>
                  <c:y val="0.196711722933224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F7-488B-8996-15709F8D639D}"/>
                </c:ext>
              </c:extLst>
            </c:dLbl>
            <c:dLbl>
              <c:idx val="2"/>
              <c:layout>
                <c:manualLayout>
                  <c:x val="-9.4232028941243777E-4"/>
                  <c:y val="0.142942468845294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F7-488B-8996-15709F8D639D}"/>
                </c:ext>
              </c:extLst>
            </c:dLbl>
            <c:dLbl>
              <c:idx val="3"/>
              <c:layout>
                <c:manualLayout>
                  <c:x val="-9.4232028941239126E-4"/>
                  <c:y val="0.190589958460393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F7-488B-8996-15709F8D639D}"/>
                </c:ext>
              </c:extLst>
            </c:dLbl>
            <c:dLbl>
              <c:idx val="4"/>
              <c:layout>
                <c:manualLayout>
                  <c:x val="4.7118012181641342E-3"/>
                  <c:y val="0.195354707421903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F7-488B-8996-15709F8D639D}"/>
                </c:ext>
              </c:extLst>
            </c:dLbl>
            <c:dLbl>
              <c:idx val="5"/>
              <c:layout>
                <c:manualLayout>
                  <c:x val="4.703810374073387E-3"/>
                  <c:y val="0.20147647189473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F7-488B-8996-15709F8D639D}"/>
                </c:ext>
              </c:extLst>
            </c:dLbl>
            <c:dLbl>
              <c:idx val="6"/>
              <c:layout>
                <c:manualLayout>
                  <c:x val="3.5519301983786976E-3"/>
                  <c:y val="0.195354707421903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F7-488B-8996-15709F8D639D}"/>
                </c:ext>
              </c:extLst>
            </c:dLbl>
            <c:dLbl>
              <c:idx val="7"/>
              <c:layout>
                <c:manualLayout>
                  <c:x val="7.248894217006154E-3"/>
                  <c:y val="0.197405800537853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F7-488B-8996-15709F8D639D}"/>
                </c:ext>
              </c:extLst>
            </c:dLbl>
            <c:dLbl>
              <c:idx val="8"/>
              <c:layout>
                <c:manualLayout>
                  <c:x val="-9.4232028941248428E-4"/>
                  <c:y val="0.198762440872091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F7-488B-8996-15709F8D639D}"/>
                </c:ext>
              </c:extLst>
            </c:dLbl>
            <c:dLbl>
              <c:idx val="9"/>
              <c:layout>
                <c:manualLayout>
                  <c:x val="2.3920591785931678E-3"/>
                  <c:y val="0.200119456383412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F7-488B-8996-15709F8D639D}"/>
                </c:ext>
              </c:extLst>
            </c:dLbl>
            <c:dLbl>
              <c:idx val="10"/>
              <c:layout>
                <c:manualLayout>
                  <c:x val="5.5090876873277669E-3"/>
                  <c:y val="0.20011945638341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F7-488B-8996-15709F8D639D}"/>
                </c:ext>
              </c:extLst>
            </c:dLbl>
            <c:dLbl>
              <c:idx val="11"/>
              <c:layout>
                <c:manualLayout>
                  <c:x val="0"/>
                  <c:y val="0.195354707421903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D3-4AED-BB55-274FE53ADEDF}"/>
                </c:ext>
              </c:extLst>
            </c:dLbl>
            <c:dLbl>
              <c:idx val="12"/>
              <c:layout>
                <c:manualLayout>
                  <c:x val="5.0741859976837604E-3"/>
                  <c:y val="0.185825209498883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D3-4AED-BB55-274FE53ADEDF}"/>
                </c:ext>
              </c:extLst>
            </c:dLbl>
            <c:dLbl>
              <c:idx val="13"/>
              <c:layout>
                <c:manualLayout>
                  <c:x val="5.0741859976838541E-3"/>
                  <c:y val="0.20011945638341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D3-4AED-BB55-274FE53ADEDF}"/>
                </c:ext>
              </c:extLst>
            </c:dLbl>
            <c:dLbl>
              <c:idx val="14"/>
              <c:layout>
                <c:manualLayout>
                  <c:x val="2.537092998841927E-3"/>
                  <c:y val="0.181060460537373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D3-4AED-BB55-274FE53ADE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b!$B$4:$B$18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b!$G$4:$G$18</c:f>
              <c:numCache>
                <c:formatCode>#,##0.00</c:formatCode>
                <c:ptCount val="15"/>
                <c:pt idx="0">
                  <c:v>11011</c:v>
                </c:pt>
                <c:pt idx="1">
                  <c:v>13435.373352855049</c:v>
                </c:pt>
                <c:pt idx="2">
                  <c:v>15720.32</c:v>
                </c:pt>
                <c:pt idx="3">
                  <c:v>9972.18</c:v>
                </c:pt>
                <c:pt idx="4">
                  <c:v>11274.32</c:v>
                </c:pt>
                <c:pt idx="5">
                  <c:v>10422.09</c:v>
                </c:pt>
                <c:pt idx="6">
                  <c:v>11068.05</c:v>
                </c:pt>
                <c:pt idx="7">
                  <c:v>13907.53</c:v>
                </c:pt>
                <c:pt idx="8">
                  <c:v>11609.894349217482</c:v>
                </c:pt>
                <c:pt idx="9">
                  <c:v>11688.893583063418</c:v>
                </c:pt>
                <c:pt idx="10">
                  <c:v>10588.083324823854</c:v>
                </c:pt>
                <c:pt idx="11">
                  <c:v>10436.921635966282</c:v>
                </c:pt>
                <c:pt idx="12">
                  <c:v>11096.925698199866</c:v>
                </c:pt>
                <c:pt idx="13">
                  <c:v>15320.115876910426</c:v>
                </c:pt>
                <c:pt idx="14">
                  <c:v>17604.605179970695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B-19F7-488B-8996-15709F8D6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09958016"/>
        <c:axId val="209959552"/>
        <c:axId val="0"/>
      </c:bar3DChart>
      <c:catAx>
        <c:axId val="20995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09959552"/>
        <c:crosses val="autoZero"/>
        <c:auto val="0"/>
        <c:lblAlgn val="ctr"/>
        <c:lblOffset val="100"/>
        <c:noMultiLvlLbl val="0"/>
      </c:catAx>
      <c:valAx>
        <c:axId val="209959552"/>
        <c:scaling>
          <c:orientation val="minMax"/>
          <c:max val="16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09958016"/>
        <c:crosses val="autoZero"/>
        <c:crossBetween val="between"/>
        <c:majorUnit val="2000"/>
        <c:minorUnit val="200"/>
      </c:valAx>
    </c:plotArea>
    <c:legend>
      <c:legendPos val="r"/>
      <c:layout>
        <c:manualLayout>
          <c:xMode val="edge"/>
          <c:yMode val="edge"/>
          <c:x val="0.11494379160914059"/>
          <c:y val="0.91870215641840058"/>
          <c:w val="0.55248214468572154"/>
          <c:h val="7.9009818958628825E-2"/>
        </c:manualLayout>
      </c:layout>
      <c:overlay val="0"/>
      <c:txPr>
        <a:bodyPr/>
        <a:lstStyle/>
        <a:p>
          <a:pPr>
            <a:defRPr sz="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F9F9F9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9753466367639597E-2"/>
          <c:y val="6.62990048572904E-2"/>
          <c:w val="0.92243696149207965"/>
          <c:h val="0.860706935067597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b!$F$2</c:f>
              <c:strCache>
                <c:ptCount val="1"/>
                <c:pt idx="0">
                  <c:v>Wskaźnik efektywności zatrudnieniowej, Podkarpackie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8.9258527081973783E-4"/>
                  <c:y val="0.134674420221943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25-449B-93C4-50492004CAB9}"/>
                </c:ext>
              </c:extLst>
            </c:dLbl>
            <c:dLbl>
              <c:idx val="1"/>
              <c:layout>
                <c:manualLayout>
                  <c:x val="8.925852708197001E-4"/>
                  <c:y val="0.130468690494719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25-449B-93C4-50492004CAB9}"/>
                </c:ext>
              </c:extLst>
            </c:dLbl>
            <c:dLbl>
              <c:idx val="2"/>
              <c:layout>
                <c:manualLayout>
                  <c:x val="-3.773079214250601E-17"/>
                  <c:y val="0.134674420221943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25-449B-93C4-50492004CAB9}"/>
                </c:ext>
              </c:extLst>
            </c:dLbl>
            <c:dLbl>
              <c:idx val="3"/>
              <c:layout>
                <c:manualLayout>
                  <c:x val="-2.0580669824638484E-3"/>
                  <c:y val="0.129752722961628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25-449B-93C4-50492004CAB9}"/>
                </c:ext>
              </c:extLst>
            </c:dLbl>
            <c:dLbl>
              <c:idx val="4"/>
              <c:layout>
                <c:manualLayout>
                  <c:x val="2.9506522532835484E-3"/>
                  <c:y val="0.13022992426374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25-449B-93C4-50492004CAB9}"/>
                </c:ext>
              </c:extLst>
            </c:dLbl>
            <c:dLbl>
              <c:idx val="5"/>
              <c:layout>
                <c:manualLayout>
                  <c:x val="-1.6205251837969867E-7"/>
                  <c:y val="0.142847113445419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25-449B-93C4-50492004CAB9}"/>
                </c:ext>
              </c:extLst>
            </c:dLbl>
            <c:dLbl>
              <c:idx val="6"/>
              <c:layout>
                <c:manualLayout>
                  <c:x val="1.7850084891211713E-3"/>
                  <c:y val="0.14236991214329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25-449B-93C4-50492004CAB9}"/>
                </c:ext>
              </c:extLst>
            </c:dLbl>
            <c:dLbl>
              <c:idx val="7"/>
              <c:layout>
                <c:manualLayout>
                  <c:x val="1.7850084891211713E-3"/>
                  <c:y val="0.121102497276210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25-449B-93C4-50492004CAB9}"/>
                </c:ext>
              </c:extLst>
            </c:dLbl>
            <c:dLbl>
              <c:idx val="8"/>
              <c:layout>
                <c:manualLayout>
                  <c:x val="5.9011424540487177E-3"/>
                  <c:y val="0.129752722961628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25-449B-93C4-50492004CAB9}"/>
                </c:ext>
              </c:extLst>
            </c:dLbl>
            <c:dLbl>
              <c:idx val="9"/>
              <c:layout>
                <c:manualLayout>
                  <c:x val="6.7937277248684555E-3"/>
                  <c:y val="0.125546993234404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25-449B-93C4-50492004CAB9}"/>
                </c:ext>
              </c:extLst>
            </c:dLbl>
            <c:dLbl>
              <c:idx val="10"/>
              <c:layout>
                <c:manualLayout>
                  <c:x val="5.6280839607062288E-3"/>
                  <c:y val="0.139118916180137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25-449B-93C4-50492004CAB9}"/>
                </c:ext>
              </c:extLst>
            </c:dLbl>
            <c:dLbl>
              <c:idx val="11"/>
              <c:layout>
                <c:manualLayout>
                  <c:x val="2.9506522532835484E-3"/>
                  <c:y val="0.13491318645291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25-449B-93C4-50492004CAB9}"/>
                </c:ext>
              </c:extLst>
            </c:dLbl>
            <c:dLbl>
              <c:idx val="12"/>
              <c:layout>
                <c:manualLayout>
                  <c:x val="6.5206692315258911E-3"/>
                  <c:y val="0.1220572310402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25-449B-93C4-50492004CAB9}"/>
                </c:ext>
              </c:extLst>
            </c:dLbl>
            <c:dLbl>
              <c:idx val="13"/>
              <c:layout>
                <c:manualLayout>
                  <c:x val="4.7356607424047202E-3"/>
                  <c:y val="0.13515195268388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25-449B-93C4-50492004CAB9}"/>
                </c:ext>
              </c:extLst>
            </c:dLbl>
            <c:dLbl>
              <c:idx val="14"/>
              <c:layout>
                <c:manualLayout>
                  <c:x val="6.1913785143316814E-3"/>
                  <c:y val="0.12869532965304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BC-49FB-A89C-419B998E96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b!$B$4:$B$18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b!$F$4:$F$18</c:f>
              <c:numCache>
                <c:formatCode>#,##0.00</c:formatCode>
                <c:ptCount val="15"/>
                <c:pt idx="0">
                  <c:v>52.26</c:v>
                </c:pt>
                <c:pt idx="1">
                  <c:v>51.78</c:v>
                </c:pt>
                <c:pt idx="2">
                  <c:v>53.1</c:v>
                </c:pt>
                <c:pt idx="3">
                  <c:v>54.9</c:v>
                </c:pt>
                <c:pt idx="4">
                  <c:v>63.1</c:v>
                </c:pt>
                <c:pt idx="5">
                  <c:v>66.7</c:v>
                </c:pt>
                <c:pt idx="6">
                  <c:v>76.5</c:v>
                </c:pt>
                <c:pt idx="7">
                  <c:v>74.3</c:v>
                </c:pt>
                <c:pt idx="8">
                  <c:v>80.599999999999994</c:v>
                </c:pt>
                <c:pt idx="9">
                  <c:v>86.1</c:v>
                </c:pt>
                <c:pt idx="10">
                  <c:v>88.2</c:v>
                </c:pt>
                <c:pt idx="11">
                  <c:v>89.2</c:v>
                </c:pt>
                <c:pt idx="12">
                  <c:v>88.49482103054936</c:v>
                </c:pt>
                <c:pt idx="13">
                  <c:v>89.471425067451563</c:v>
                </c:pt>
                <c:pt idx="14">
                  <c:v>86.64716272907927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E-1425-449B-93C4-50492004C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10009088"/>
        <c:axId val="210010880"/>
        <c:axId val="0"/>
      </c:bar3DChart>
      <c:catAx>
        <c:axId val="21000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0010880"/>
        <c:crosses val="autoZero"/>
        <c:auto val="0"/>
        <c:lblAlgn val="ctr"/>
        <c:lblOffset val="100"/>
        <c:noMultiLvlLbl val="0"/>
      </c:catAx>
      <c:valAx>
        <c:axId val="2100108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0009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3020714560965222E-2"/>
          <c:y val="0.90927854111641249"/>
          <c:w val="0.59751573364069066"/>
          <c:h val="7.9009818958628825E-2"/>
        </c:manualLayout>
      </c:layout>
      <c:overlay val="0"/>
      <c:txPr>
        <a:bodyPr/>
        <a:lstStyle/>
        <a:p>
          <a:pPr>
            <a:defRPr sz="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F9F9F9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5079848969761095E-2"/>
          <c:y val="6.0373053368328967E-2"/>
          <c:w val="0.92421435189230983"/>
          <c:h val="0.825975060460112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b!$F$2</c:f>
              <c:strCache>
                <c:ptCount val="1"/>
                <c:pt idx="0">
                  <c:v>Wskaźnik efektywności zatrudnieniowej, Podkarpackie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3.3649792994571454E-3"/>
                  <c:y val="0.207323884514435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60-4D3B-8890-3720A3CE726D}"/>
                </c:ext>
              </c:extLst>
            </c:dLbl>
            <c:dLbl>
              <c:idx val="1"/>
              <c:layout>
                <c:manualLayout>
                  <c:x val="2.2171865518963415E-3"/>
                  <c:y val="0.202356838728492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60-4D3B-8890-3720A3CE726D}"/>
                </c:ext>
              </c:extLst>
            </c:dLbl>
            <c:dLbl>
              <c:idx val="2"/>
              <c:layout>
                <c:manualLayout>
                  <c:x val="6.345481589672756E-3"/>
                  <c:y val="0.164283464566929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60-4D3B-8890-3720A3CE726D}"/>
                </c:ext>
              </c:extLst>
            </c:dLbl>
            <c:dLbl>
              <c:idx val="3"/>
              <c:layout>
                <c:manualLayout>
                  <c:x val="-2.7197989550387428E-4"/>
                  <c:y val="0.177239778361038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60-4D3B-8890-3720A3CE726D}"/>
                </c:ext>
              </c:extLst>
            </c:dLbl>
            <c:dLbl>
              <c:idx val="4"/>
              <c:layout>
                <c:manualLayout>
                  <c:x val="3.1445493940190647E-3"/>
                  <c:y val="0.16533146689997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60-4D3B-8890-3720A3CE726D}"/>
                </c:ext>
              </c:extLst>
            </c:dLbl>
            <c:dLbl>
              <c:idx val="5"/>
              <c:layout>
                <c:manualLayout>
                  <c:x val="5.6981533290015769E-3"/>
                  <c:y val="0.185737649460484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60-4D3B-8890-3720A3CE726D}"/>
                </c:ext>
              </c:extLst>
            </c:dLbl>
            <c:dLbl>
              <c:idx val="6"/>
              <c:layout>
                <c:manualLayout>
                  <c:x val="1.2661697820401982E-2"/>
                  <c:y val="0.191663575386410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60-4D3B-8890-3720A3CE726D}"/>
                </c:ext>
              </c:extLst>
            </c:dLbl>
            <c:dLbl>
              <c:idx val="7"/>
              <c:layout>
                <c:manualLayout>
                  <c:x val="1.0229451153699517E-2"/>
                  <c:y val="0.213383260425780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41-4167-AFB9-6435FA714B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b!$B$11:$B$18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b!$F$11:$F$18</c:f>
              <c:numCache>
                <c:formatCode>#,##0.00</c:formatCode>
                <c:ptCount val="8"/>
                <c:pt idx="0">
                  <c:v>74.3</c:v>
                </c:pt>
                <c:pt idx="1">
                  <c:v>80.599999999999994</c:v>
                </c:pt>
                <c:pt idx="2">
                  <c:v>86.1</c:v>
                </c:pt>
                <c:pt idx="3">
                  <c:v>88.2</c:v>
                </c:pt>
                <c:pt idx="4">
                  <c:v>89.2</c:v>
                </c:pt>
                <c:pt idx="5">
                  <c:v>88.49482103054936</c:v>
                </c:pt>
                <c:pt idx="6">
                  <c:v>89.471425067451563</c:v>
                </c:pt>
                <c:pt idx="7">
                  <c:v>86.64716272907927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7-6360-4D3B-8890-3720A3CE7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10314752"/>
        <c:axId val="210316288"/>
        <c:axId val="0"/>
      </c:bar3DChart>
      <c:catAx>
        <c:axId val="21031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0316288"/>
        <c:crosses val="autoZero"/>
        <c:auto val="0"/>
        <c:lblAlgn val="ctr"/>
        <c:lblOffset val="100"/>
        <c:noMultiLvlLbl val="0"/>
      </c:catAx>
      <c:valAx>
        <c:axId val="2103162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0314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6073080165158666E-2"/>
          <c:y val="0.91788571652678641"/>
          <c:w val="0.72140109597786761"/>
          <c:h val="7.9009818958628825E-2"/>
        </c:manualLayout>
      </c:layout>
      <c:overlay val="0"/>
      <c:txPr>
        <a:bodyPr/>
        <a:lstStyle/>
        <a:p>
          <a:pPr>
            <a:defRPr sz="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F9F9F9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345663187450399E-2"/>
          <c:y val="6.6299043809234459E-2"/>
          <c:w val="0.90026098563253909"/>
          <c:h val="0.799902252369433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b!$E$2</c:f>
              <c:strCache>
                <c:ptCount val="1"/>
                <c:pt idx="0">
                  <c:v>kwoty wyd. w woj. podkarpackim (w tys. zł.)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1.0673240712124371E-3"/>
                  <c:y val="0.142464524089965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4A-4991-8E00-A818C2AE6485}"/>
                </c:ext>
              </c:extLst>
            </c:dLbl>
            <c:dLbl>
              <c:idx val="1"/>
              <c:layout>
                <c:manualLayout>
                  <c:x val="-1.1751345834561616E-3"/>
                  <c:y val="0.212927336445200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4A-4991-8E00-A818C2AE6485}"/>
                </c:ext>
              </c:extLst>
            </c:dLbl>
            <c:dLbl>
              <c:idx val="2"/>
              <c:layout>
                <c:manualLayout>
                  <c:x val="2.1346481424248743E-3"/>
                  <c:y val="0.21105855420735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4A-4991-8E00-A818C2AE6485}"/>
                </c:ext>
              </c:extLst>
            </c:dLbl>
            <c:dLbl>
              <c:idx val="3"/>
              <c:layout>
                <c:manualLayout>
                  <c:x val="2.1346481424248743E-3"/>
                  <c:y val="0.226887945772908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4A-4991-8E00-A818C2AE6485}"/>
                </c:ext>
              </c:extLst>
            </c:dLbl>
            <c:dLbl>
              <c:idx val="4"/>
              <c:layout>
                <c:manualLayout>
                  <c:x val="4.9817913719057026E-3"/>
                  <c:y val="0.226887945772908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4A-4991-8E00-A818C2AE6485}"/>
                </c:ext>
              </c:extLst>
            </c:dLbl>
            <c:dLbl>
              <c:idx val="5"/>
              <c:layout>
                <c:manualLayout>
                  <c:x val="2.5715644288861056E-3"/>
                  <c:y val="0.223480264155568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4A-4991-8E00-A818C2AE6485}"/>
                </c:ext>
              </c:extLst>
            </c:dLbl>
            <c:dLbl>
              <c:idx val="6"/>
              <c:layout>
                <c:manualLayout>
                  <c:x val="4.091881792771551E-3"/>
                  <c:y val="0.23216440962809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4A-4991-8E00-A818C2AE6485}"/>
                </c:ext>
              </c:extLst>
            </c:dLbl>
            <c:dLbl>
              <c:idx val="7"/>
              <c:layout>
                <c:manualLayout>
                  <c:x val="4.9817913719057026E-3"/>
                  <c:y val="0.228427260621999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4A-4991-8E00-A818C2AE6485}"/>
                </c:ext>
              </c:extLst>
            </c:dLbl>
            <c:dLbl>
              <c:idx val="8"/>
              <c:layout>
                <c:manualLayout>
                  <c:x val="2.1346481424248743E-3"/>
                  <c:y val="0.219742699679880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4A-4991-8E00-A818C2AE6485}"/>
                </c:ext>
              </c:extLst>
            </c:dLbl>
            <c:dLbl>
              <c:idx val="9"/>
              <c:layout>
                <c:manualLayout>
                  <c:x val="3.2021613548868615E-3"/>
                  <c:y val="0.23744087348327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4A-4991-8E00-A818C2AE6485}"/>
                </c:ext>
              </c:extLst>
            </c:dLbl>
            <c:dLbl>
              <c:idx val="10"/>
              <c:layout>
                <c:manualLayout>
                  <c:x val="3.6470215738292062E-3"/>
                  <c:y val="0.221611481917724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4A-4991-8E00-A818C2AE6485}"/>
                </c:ext>
              </c:extLst>
            </c:dLbl>
            <c:dLbl>
              <c:idx val="11"/>
              <c:layout>
                <c:manualLayout>
                  <c:x val="0"/>
                  <c:y val="0.211058554207356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7C-41FA-835A-624122FBE9BC}"/>
                </c:ext>
              </c:extLst>
            </c:dLbl>
            <c:dLbl>
              <c:idx val="12"/>
              <c:layout>
                <c:manualLayout>
                  <c:x val="4.8041877385778678E-3"/>
                  <c:y val="0.20578209035217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7C-41FA-835A-624122FBE9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b!$B$6:$B$18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b!$E$6:$E$18</c:f>
              <c:numCache>
                <c:formatCode>#\ ##0.0</c:formatCode>
                <c:ptCount val="13"/>
                <c:pt idx="0">
                  <c:v>386138.3</c:v>
                </c:pt>
                <c:pt idx="1">
                  <c:v>153860.79999999999</c:v>
                </c:pt>
                <c:pt idx="2">
                  <c:v>194132.6</c:v>
                </c:pt>
                <c:pt idx="3">
                  <c:v>235424.7</c:v>
                </c:pt>
                <c:pt idx="4">
                  <c:v>269440.7</c:v>
                </c:pt>
                <c:pt idx="5">
                  <c:v>278247.90000000002</c:v>
                </c:pt>
                <c:pt idx="6">
                  <c:v>264833.30000000005</c:v>
                </c:pt>
                <c:pt idx="7">
                  <c:v>249008.5</c:v>
                </c:pt>
                <c:pt idx="8">
                  <c:v>207378.2</c:v>
                </c:pt>
                <c:pt idx="9">
                  <c:v>167147.29999999999</c:v>
                </c:pt>
                <c:pt idx="10">
                  <c:v>149797.4</c:v>
                </c:pt>
                <c:pt idx="11">
                  <c:v>223535.81076000002</c:v>
                </c:pt>
                <c:pt idx="12">
                  <c:v>276339.48751000001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B-C74A-4991-8E00-A818C2AE6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10378112"/>
        <c:axId val="210379904"/>
        <c:axId val="0"/>
      </c:bar3DChart>
      <c:catAx>
        <c:axId val="21037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0379904"/>
        <c:crosses val="autoZero"/>
        <c:auto val="0"/>
        <c:lblAlgn val="ctr"/>
        <c:lblOffset val="100"/>
        <c:noMultiLvlLbl val="0"/>
      </c:catAx>
      <c:valAx>
        <c:axId val="2103799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0378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1126370831553038E-2"/>
          <c:y val="0.85768042383212317"/>
          <c:w val="0.55248214468572154"/>
          <c:h val="7.9009818958628825E-2"/>
        </c:manualLayout>
      </c:layout>
      <c:overlay val="0"/>
      <c:txPr>
        <a:bodyPr/>
        <a:lstStyle/>
        <a:p>
          <a:pPr>
            <a:defRPr sz="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F9F9F9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9739032506921704E-2"/>
          <c:y val="3.9639132668423095E-2"/>
          <c:w val="0.90026098563253909"/>
          <c:h val="0.8974314315273671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b!$E$2</c:f>
              <c:strCache>
                <c:ptCount val="1"/>
                <c:pt idx="0">
                  <c:v>kwoty wyd. w woj. podkarpackim (w tys. zł.)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1.5494172852506087E-3"/>
                  <c:y val="0.156410005850824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86-4507-B3EF-683EA42FFCB5}"/>
                </c:ext>
              </c:extLst>
            </c:dLbl>
            <c:dLbl>
              <c:idx val="1"/>
              <c:layout>
                <c:manualLayout>
                  <c:x val="-1.8221877366461591E-3"/>
                  <c:y val="0.20699449548186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86-4507-B3EF-683EA42FFCB5}"/>
                </c:ext>
              </c:extLst>
            </c:dLbl>
            <c:dLbl>
              <c:idx val="2"/>
              <c:layout>
                <c:manualLayout>
                  <c:x val="9.8501567466779808E-4"/>
                  <c:y val="0.279794947193341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86-4507-B3EF-683EA42FFCB5}"/>
                </c:ext>
              </c:extLst>
            </c:dLbl>
            <c:dLbl>
              <c:idx val="3"/>
              <c:layout>
                <c:manualLayout>
                  <c:x val="5.1714843944871867E-4"/>
                  <c:y val="0.29539346694692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86-4507-B3EF-683EA42FFCB5}"/>
                </c:ext>
              </c:extLst>
            </c:dLbl>
            <c:dLbl>
              <c:idx val="4"/>
              <c:layout>
                <c:manualLayout>
                  <c:x val="4.6346640340093042E-3"/>
                  <c:y val="0.28021035166687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86-4507-B3EF-683EA42FFCB5}"/>
                </c:ext>
              </c:extLst>
            </c:dLbl>
            <c:dLbl>
              <c:idx val="5"/>
              <c:layout>
                <c:manualLayout>
                  <c:x val="4.8250963417122194E-3"/>
                  <c:y val="0.274245045299939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86-4507-B3EF-683EA42FFCB5}"/>
                </c:ext>
              </c:extLst>
            </c:dLbl>
            <c:dLbl>
              <c:idx val="6"/>
              <c:layout>
                <c:manualLayout>
                  <c:x val="8.1111183669627593E-3"/>
                  <c:y val="0.273816966083614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86-4507-B3EF-683EA42FFCB5}"/>
                </c:ext>
              </c:extLst>
            </c:dLbl>
            <c:dLbl>
              <c:idx val="7"/>
              <c:layout>
                <c:manualLayout>
                  <c:x val="7.2102660657738862E-3"/>
                  <c:y val="0.26090712725319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86-4507-B3EF-683EA42FFCB5}"/>
                </c:ext>
              </c:extLst>
            </c:dLbl>
            <c:dLbl>
              <c:idx val="8"/>
              <c:layout>
                <c:manualLayout>
                  <c:x val="8.9818992226993535E-3"/>
                  <c:y val="0.214758221414925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86-4507-B3EF-683EA42FFCB5}"/>
                </c:ext>
              </c:extLst>
            </c:dLbl>
            <c:dLbl>
              <c:idx val="9"/>
              <c:layout>
                <c:manualLayout>
                  <c:x val="1.76146768631450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86-4507-B3EF-683EA42FFCB5}"/>
                </c:ext>
              </c:extLst>
            </c:dLbl>
            <c:dLbl>
              <c:idx val="10"/>
              <c:layout>
                <c:manualLayout>
                  <c:x val="1.56574905450178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86-4507-B3EF-683EA42FFC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50" b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b!$B$11:$B$18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b!$E$11:$E$18</c:f>
              <c:numCache>
                <c:formatCode>#\ ##0.0</c:formatCode>
                <c:ptCount val="8"/>
                <c:pt idx="0">
                  <c:v>278247.90000000002</c:v>
                </c:pt>
                <c:pt idx="1">
                  <c:v>264833.30000000005</c:v>
                </c:pt>
                <c:pt idx="2">
                  <c:v>249008.5</c:v>
                </c:pt>
                <c:pt idx="3">
                  <c:v>207378.2</c:v>
                </c:pt>
                <c:pt idx="4">
                  <c:v>167147.29999999999</c:v>
                </c:pt>
                <c:pt idx="5">
                  <c:v>149797.4</c:v>
                </c:pt>
                <c:pt idx="6">
                  <c:v>223535.81076000002</c:v>
                </c:pt>
                <c:pt idx="7">
                  <c:v>276339.48751000001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B-4F86-4507-B3EF-683EA42FF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10417152"/>
        <c:axId val="210418688"/>
        <c:axId val="0"/>
      </c:bar3DChart>
      <c:catAx>
        <c:axId val="21041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0418688"/>
        <c:crosses val="autoZero"/>
        <c:auto val="0"/>
        <c:lblAlgn val="ctr"/>
        <c:lblOffset val="100"/>
        <c:noMultiLvlLbl val="0"/>
      </c:catAx>
      <c:valAx>
        <c:axId val="2104186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0417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91312631188693216"/>
          <c:w val="0.72440192826899508"/>
          <c:h val="7.9009818958628825E-2"/>
        </c:manualLayout>
      </c:layout>
      <c:overlay val="0"/>
      <c:txPr>
        <a:bodyPr/>
        <a:lstStyle/>
        <a:p>
          <a:pPr>
            <a:defRPr sz="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F9F9F9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645399127395364E-2"/>
          <c:y val="5.6068630807338343E-2"/>
          <c:w val="0.89202293054490878"/>
          <c:h val="0.8254775761725434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b!$G$2</c:f>
              <c:strCache>
                <c:ptCount val="1"/>
                <c:pt idx="0">
                  <c:v>Wskaźnik efekt. kosztowej, Podkarpackie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1.8046369271145293E-3"/>
                  <c:y val="0.205325331775983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D0-44FA-83CC-CDCC1BDDCD49}"/>
                </c:ext>
              </c:extLst>
            </c:dLbl>
            <c:dLbl>
              <c:idx val="1"/>
              <c:layout>
                <c:manualLayout>
                  <c:x val="-9.7463437783473111E-4"/>
                  <c:y val="0.235957065469118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D0-44FA-83CC-CDCC1BDDCD49}"/>
                </c:ext>
              </c:extLst>
            </c:dLbl>
            <c:dLbl>
              <c:idx val="2"/>
              <c:layout>
                <c:manualLayout>
                  <c:x val="-4.3754005428872693E-4"/>
                  <c:y val="0.2331059065187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D0-44FA-83CC-CDCC1BDDCD49}"/>
                </c:ext>
              </c:extLst>
            </c:dLbl>
            <c:dLbl>
              <c:idx val="3"/>
              <c:layout>
                <c:manualLayout>
                  <c:x val="-1.6899289251572487E-4"/>
                  <c:y val="0.232135650562861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D0-44FA-83CC-CDCC1BDDCD49}"/>
                </c:ext>
              </c:extLst>
            </c:dLbl>
            <c:dLbl>
              <c:idx val="4"/>
              <c:layout>
                <c:manualLayout>
                  <c:x val="7.9443923228503781E-3"/>
                  <c:y val="0.236441186539662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D0-44FA-83CC-CDCC1BDDCD49}"/>
                </c:ext>
              </c:extLst>
            </c:dLbl>
            <c:dLbl>
              <c:idx val="5"/>
              <c:layout>
                <c:manualLayout>
                  <c:x val="5.730412793433331E-3"/>
                  <c:y val="0.22783132287492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D0-44FA-83CC-CDCC1BDDCD49}"/>
                </c:ext>
              </c:extLst>
            </c:dLbl>
            <c:dLbl>
              <c:idx val="6"/>
              <c:layout>
                <c:manualLayout>
                  <c:x val="4.7609575394327048E-3"/>
                  <c:y val="0.212718851320055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D0-44FA-83CC-CDCC1BDDCD49}"/>
                </c:ext>
              </c:extLst>
            </c:dLbl>
            <c:dLbl>
              <c:idx val="7"/>
              <c:layout>
                <c:manualLayout>
                  <c:x val="7.3497521789245342E-3"/>
                  <c:y val="0.216534627544958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D0-44FA-83CC-CDCC1BDDCD49}"/>
                </c:ext>
              </c:extLst>
            </c:dLbl>
            <c:dLbl>
              <c:idx val="8"/>
              <c:layout>
                <c:manualLayout>
                  <c:x val="1.1743117908763371E-2"/>
                  <c:y val="3.4078800383292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D0-44FA-83CC-CDCC1BDDCD49}"/>
                </c:ext>
              </c:extLst>
            </c:dLbl>
            <c:dLbl>
              <c:idx val="9"/>
              <c:layout>
                <c:manualLayout>
                  <c:x val="1.76146768631450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D0-44FA-83CC-CDCC1BDDCD49}"/>
                </c:ext>
              </c:extLst>
            </c:dLbl>
            <c:dLbl>
              <c:idx val="10"/>
              <c:layout>
                <c:manualLayout>
                  <c:x val="1.56574905450178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D0-44FA-83CC-CDCC1BDDCD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b!$B$11:$B$18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b!$G$11:$G$18</c:f>
              <c:numCache>
                <c:formatCode>#,##0.00</c:formatCode>
                <c:ptCount val="8"/>
                <c:pt idx="0">
                  <c:v>13907.53</c:v>
                </c:pt>
                <c:pt idx="1">
                  <c:v>11609.894349217482</c:v>
                </c:pt>
                <c:pt idx="2">
                  <c:v>11688.893583063418</c:v>
                </c:pt>
                <c:pt idx="3">
                  <c:v>10588.083324823854</c:v>
                </c:pt>
                <c:pt idx="4">
                  <c:v>10436.921635966282</c:v>
                </c:pt>
                <c:pt idx="5">
                  <c:v>11096.925698199866</c:v>
                </c:pt>
                <c:pt idx="6">
                  <c:v>15320.115876910426</c:v>
                </c:pt>
                <c:pt idx="7">
                  <c:v>17604.605179970695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B-E7D0-44FA-83CC-CDCC1BDDC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gapDepth val="123"/>
        <c:shape val="cylinder"/>
        <c:axId val="213728640"/>
        <c:axId val="213738624"/>
        <c:axId val="0"/>
      </c:bar3DChart>
      <c:catAx>
        <c:axId val="21372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3738624"/>
        <c:crosses val="autoZero"/>
        <c:auto val="0"/>
        <c:lblAlgn val="ctr"/>
        <c:lblOffset val="100"/>
        <c:noMultiLvlLbl val="0"/>
      </c:catAx>
      <c:valAx>
        <c:axId val="213738624"/>
        <c:scaling>
          <c:orientation val="minMax"/>
          <c:max val="16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3728640"/>
        <c:crosses val="autoZero"/>
        <c:crossBetween val="between"/>
        <c:majorUnit val="2000"/>
        <c:minorUnit val="200"/>
      </c:valAx>
    </c:plotArea>
    <c:legend>
      <c:legendPos val="r"/>
      <c:layout>
        <c:manualLayout>
          <c:xMode val="edge"/>
          <c:yMode val="edge"/>
          <c:x val="0.12065869589660941"/>
          <c:y val="0.8743312793970246"/>
          <c:w val="0.55248214468572154"/>
          <c:h val="7.9009818958628825E-2"/>
        </c:manualLayout>
      </c:layout>
      <c:overlay val="0"/>
      <c:txPr>
        <a:bodyPr/>
        <a:lstStyle/>
        <a:p>
          <a:pPr>
            <a:defRPr sz="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048692037579222E-2"/>
          <c:y val="5.8148022455336748E-2"/>
          <c:w val="0.96411791913665212"/>
          <c:h val="0.720014306299558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EZ!$C$15:$C$17</c:f>
              <c:strCache>
                <c:ptCount val="3"/>
                <c:pt idx="0">
                  <c:v>Efektywność</c:v>
                </c:pt>
                <c:pt idx="1">
                  <c:v>zatrudnieniowa</c:v>
                </c:pt>
                <c:pt idx="2">
                  <c:v>(w proc.)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  <a:alpha val="54000"/>
              </a:schemeClr>
            </a:solidFill>
            <a:ln w="3175"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25A-4A12-9FD6-CF64BF8ACEA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25A-4A12-9FD6-CF64BF8ACEA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25A-4A12-9FD6-CF64BF8ACEA1}"/>
              </c:ext>
            </c:extLst>
          </c:dPt>
          <c:dPt>
            <c:idx val="5"/>
            <c:invertIfNegative val="0"/>
            <c:bubble3D val="0"/>
            <c:spPr>
              <a:solidFill>
                <a:srgbClr val="99FF66">
                  <a:alpha val="54000"/>
                </a:srgbClr>
              </a:solidFill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4-625A-4A12-9FD6-CF64BF8ACEA1}"/>
              </c:ext>
            </c:extLst>
          </c:dPt>
          <c:dPt>
            <c:idx val="6"/>
            <c:invertIfNegative val="0"/>
            <c:bubble3D val="0"/>
            <c:spPr>
              <a:solidFill>
                <a:srgbClr val="99FF66">
                  <a:alpha val="54000"/>
                </a:srgbClr>
              </a:solidFill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5-625A-4A12-9FD6-CF64BF8ACEA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25A-4A12-9FD6-CF64BF8ACEA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25A-4A12-9FD6-CF64BF8ACE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EZ!$B$18:$B$25</c:f>
              <c:strCache>
                <c:ptCount val="8"/>
                <c:pt idx="0">
                  <c:v>Dofinansowanie działalności gospodarczej</c:v>
                </c:pt>
                <c:pt idx="1">
                  <c:v>Roboty publiczne</c:v>
                </c:pt>
                <c:pt idx="2">
                  <c:v>Prace interwencyjne</c:v>
                </c:pt>
                <c:pt idx="3">
                  <c:v>Bon na zasiedlenie</c:v>
                </c:pt>
                <c:pt idx="4">
                  <c:v>Refundacja kosztów wyposażenia lub doposażenia miejsca pracy</c:v>
                </c:pt>
                <c:pt idx="5">
                  <c:v>Razem 7 podstawowych form</c:v>
                </c:pt>
                <c:pt idx="6">
                  <c:v>Razem 6 podstawowych form</c:v>
                </c:pt>
                <c:pt idx="7">
                  <c:v>Staże</c:v>
                </c:pt>
              </c:strCache>
            </c:strRef>
          </c:cat>
          <c:val>
            <c:numRef>
              <c:f>EZ!$C$18:$C$25</c:f>
              <c:numCache>
                <c:formatCode>#\ ##0.0</c:formatCode>
                <c:ptCount val="8"/>
                <c:pt idx="0">
                  <c:v>95.395869191049911</c:v>
                </c:pt>
                <c:pt idx="1">
                  <c:v>94.23585404547859</c:v>
                </c:pt>
                <c:pt idx="2">
                  <c:v>93.357320786050366</c:v>
                </c:pt>
                <c:pt idx="3">
                  <c:v>91.208791208791212</c:v>
                </c:pt>
                <c:pt idx="4">
                  <c:v>90.28831562974203</c:v>
                </c:pt>
                <c:pt idx="5">
                  <c:v>86.886017680598414</c:v>
                </c:pt>
                <c:pt idx="6">
                  <c:v>86.64716272907927</c:v>
                </c:pt>
                <c:pt idx="7">
                  <c:v>85.071629401526309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5A-4A12-9FD6-CF64BF8ACE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210215680"/>
        <c:axId val="210231296"/>
      </c:barChart>
      <c:catAx>
        <c:axId val="2102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0231296"/>
        <c:crosses val="autoZero"/>
        <c:auto val="1"/>
        <c:lblAlgn val="ctr"/>
        <c:lblOffset val="100"/>
        <c:noMultiLvlLbl val="0"/>
      </c:catAx>
      <c:valAx>
        <c:axId val="210231296"/>
        <c:scaling>
          <c:orientation val="minMax"/>
          <c:max val="120"/>
          <c:min val="0"/>
        </c:scaling>
        <c:delete val="0"/>
        <c:axPos val="l"/>
        <c:majorGridlines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</c:majorGridlines>
        <c:minorGridlines>
          <c:spPr>
            <a:ln>
              <a:solidFill>
                <a:schemeClr val="accent2">
                  <a:lumMod val="20000"/>
                  <a:lumOff val="80000"/>
                </a:scheme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ln>
            <a:solidFill>
              <a:srgbClr val="C00000"/>
            </a:solidFill>
          </a:ln>
        </c:spPr>
        <c:txPr>
          <a:bodyPr/>
          <a:lstStyle/>
          <a:p>
            <a:pPr>
              <a:defRPr sz="7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0215680"/>
        <c:crosses val="autoZero"/>
        <c:crossBetween val="between"/>
        <c:majorUnit val="10"/>
        <c:minorUnit val="2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57231553627598"/>
          <c:y val="3.8885303271517291E-2"/>
          <c:w val="0.87742768446372388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'1'!$C$3</c:f>
              <c:strCache>
                <c:ptCount val="1"/>
                <c:pt idx="0">
                  <c:v>staże</c:v>
                </c:pt>
              </c:strCache>
            </c:strRef>
          </c:tx>
          <c:spPr>
            <a:gradFill>
              <a:gsLst>
                <a:gs pos="62000">
                  <a:schemeClr val="accent2">
                    <a:lumMod val="40000"/>
                    <a:lumOff val="60000"/>
                  </a:schemeClr>
                </a:gs>
                <a:gs pos="0">
                  <a:schemeClr val="accent2">
                    <a:lumMod val="40000"/>
                    <a:lumOff val="60000"/>
                  </a:schemeClr>
                </a:gs>
                <a:gs pos="100000">
                  <a:schemeClr val="accent2">
                    <a:lumMod val="40000"/>
                    <a:lumOff val="60000"/>
                  </a:scheme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8ED-40D9-84E6-142CF579F35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8ED-40D9-84E6-142CF579F358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8ED-40D9-84E6-142CF579F358}"/>
              </c:ext>
            </c:extLst>
          </c:dPt>
          <c:dPt>
            <c:idx val="8"/>
            <c:invertIfNegative val="0"/>
            <c:bubble3D val="0"/>
            <c:spPr>
              <a:solidFill>
                <a:srgbClr val="66FF33"/>
              </a:solidFill>
            </c:spPr>
            <c:extLst>
              <c:ext xmlns:c16="http://schemas.microsoft.com/office/drawing/2014/chart" uri="{C3380CC4-5D6E-409C-BE32-E72D297353CC}">
                <c16:uniqueId val="{00000003-D8ED-40D9-84E6-142CF579F358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62000">
                    <a:schemeClr val="accent2">
                      <a:lumMod val="40000"/>
                      <a:lumOff val="60000"/>
                    </a:schemeClr>
                  </a:gs>
                  <a:gs pos="0">
                    <a:schemeClr val="accent2">
                      <a:lumMod val="40000"/>
                      <a:lumOff val="6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</a:gradFill>
            </c:spPr>
            <c:extLst>
              <c:ext xmlns:c16="http://schemas.microsoft.com/office/drawing/2014/chart" uri="{C3380CC4-5D6E-409C-BE32-E72D297353CC}">
                <c16:uniqueId val="{00000005-D8ED-40D9-84E6-142CF579F35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8ED-40D9-84E6-142CF579F35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8ED-40D9-84E6-142CF579F3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'1'!$L$4:$L$25</c:f>
              <c:strCache>
                <c:ptCount val="22"/>
                <c:pt idx="0">
                  <c:v>Nisko</c:v>
                </c:pt>
                <c:pt idx="1">
                  <c:v>Przeworsk</c:v>
                </c:pt>
                <c:pt idx="2">
                  <c:v>Dębica</c:v>
                </c:pt>
                <c:pt idx="3">
                  <c:v>Ropczyce</c:v>
                </c:pt>
                <c:pt idx="4">
                  <c:v>Stalowa Wola</c:v>
                </c:pt>
                <c:pt idx="5">
                  <c:v>Krosno</c:v>
                </c:pt>
                <c:pt idx="6">
                  <c:v>Lesko</c:v>
                </c:pt>
                <c:pt idx="7">
                  <c:v>Rzeszów</c:v>
                </c:pt>
                <c:pt idx="8">
                  <c:v>Podkarpacie</c:v>
                </c:pt>
                <c:pt idx="9">
                  <c:v>Sanok</c:v>
                </c:pt>
                <c:pt idx="10">
                  <c:v>Brzozów</c:v>
                </c:pt>
                <c:pt idx="11">
                  <c:v>Ustrzyki Dolne</c:v>
                </c:pt>
                <c:pt idx="12">
                  <c:v>Przemyśl</c:v>
                </c:pt>
                <c:pt idx="13">
                  <c:v>Lubaczów</c:v>
                </c:pt>
                <c:pt idx="14">
                  <c:v>Jarosław</c:v>
                </c:pt>
                <c:pt idx="15">
                  <c:v>Łańcut</c:v>
                </c:pt>
                <c:pt idx="16">
                  <c:v>Mielec</c:v>
                </c:pt>
                <c:pt idx="17">
                  <c:v>Strzyżów</c:v>
                </c:pt>
                <c:pt idx="18">
                  <c:v>Kolbuszowa</c:v>
                </c:pt>
                <c:pt idx="19">
                  <c:v>Leżajsk</c:v>
                </c:pt>
                <c:pt idx="20">
                  <c:v>Tarnobrzeg</c:v>
                </c:pt>
                <c:pt idx="21">
                  <c:v>Jasło</c:v>
                </c:pt>
              </c:strCache>
            </c:strRef>
          </c:cat>
          <c:val>
            <c:numRef>
              <c:f>'1'!$M$4:$M$25</c:f>
              <c:numCache>
                <c:formatCode>#\ ##0.0</c:formatCode>
                <c:ptCount val="22"/>
                <c:pt idx="0">
                  <c:v>75.786924939467312</c:v>
                </c:pt>
                <c:pt idx="1">
                  <c:v>78.01418439716312</c:v>
                </c:pt>
                <c:pt idx="2">
                  <c:v>78.968253968253961</c:v>
                </c:pt>
                <c:pt idx="3">
                  <c:v>80.392156862745097</c:v>
                </c:pt>
                <c:pt idx="4">
                  <c:v>82.392026578073086</c:v>
                </c:pt>
                <c:pt idx="5">
                  <c:v>82.916666666666671</c:v>
                </c:pt>
                <c:pt idx="6">
                  <c:v>83.185840707964601</c:v>
                </c:pt>
                <c:pt idx="7">
                  <c:v>83.909574468085097</c:v>
                </c:pt>
                <c:pt idx="8">
                  <c:v>85.071629401526309</c:v>
                </c:pt>
                <c:pt idx="9">
                  <c:v>85.561497326203209</c:v>
                </c:pt>
                <c:pt idx="10">
                  <c:v>85.618729096989966</c:v>
                </c:pt>
                <c:pt idx="11">
                  <c:v>85.714285714285708</c:v>
                </c:pt>
                <c:pt idx="12">
                  <c:v>85.784313725490193</c:v>
                </c:pt>
                <c:pt idx="13">
                  <c:v>86.075949367088612</c:v>
                </c:pt>
                <c:pt idx="14">
                  <c:v>86.52849740932642</c:v>
                </c:pt>
                <c:pt idx="15">
                  <c:v>86.5625</c:v>
                </c:pt>
                <c:pt idx="16">
                  <c:v>87.341772151898738</c:v>
                </c:pt>
                <c:pt idx="17">
                  <c:v>88.103448275862078</c:v>
                </c:pt>
                <c:pt idx="18">
                  <c:v>88.81578947368422</c:v>
                </c:pt>
                <c:pt idx="19">
                  <c:v>91.017964071856284</c:v>
                </c:pt>
                <c:pt idx="20">
                  <c:v>91.21621621621621</c:v>
                </c:pt>
                <c:pt idx="21">
                  <c:v>91.520467836257311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ED-40D9-84E6-142CF579F3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16374656"/>
        <c:axId val="216390272"/>
      </c:barChart>
      <c:catAx>
        <c:axId val="216374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16390272"/>
        <c:crosses val="autoZero"/>
        <c:auto val="1"/>
        <c:lblAlgn val="ctr"/>
        <c:lblOffset val="100"/>
        <c:noMultiLvlLbl val="0"/>
      </c:catAx>
      <c:valAx>
        <c:axId val="216390272"/>
        <c:scaling>
          <c:orientation val="minMax"/>
        </c:scaling>
        <c:delete val="1"/>
        <c:axPos val="b"/>
        <c:numFmt formatCode="#\ ##0.0" sourceLinked="1"/>
        <c:majorTickMark val="none"/>
        <c:minorTickMark val="none"/>
        <c:tickLblPos val="nextTo"/>
        <c:crossAx val="21637465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'2'!$C$28</c:f>
              <c:strCache>
                <c:ptCount val="1"/>
                <c:pt idx="0">
                  <c:v>a</c:v>
                </c:pt>
              </c:strCache>
            </c:strRef>
          </c:tx>
          <c:spPr>
            <a:gradFill>
              <a:gsLst>
                <a:gs pos="62000">
                  <a:schemeClr val="accent2">
                    <a:lumMod val="40000"/>
                    <a:lumOff val="60000"/>
                  </a:schemeClr>
                </a:gs>
                <a:gs pos="0">
                  <a:schemeClr val="accent2">
                    <a:lumMod val="40000"/>
                    <a:lumOff val="60000"/>
                  </a:schemeClr>
                </a:gs>
                <a:gs pos="100000">
                  <a:schemeClr val="accent2">
                    <a:lumMod val="20000"/>
                    <a:lumOff val="80000"/>
                  </a:scheme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FFC-4B3E-BC2A-2E1B62215AE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FFC-4B3E-BC2A-2E1B62215AE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FFC-4B3E-BC2A-2E1B62215AEB}"/>
              </c:ext>
            </c:extLst>
          </c:dPt>
          <c:dPt>
            <c:idx val="9"/>
            <c:invertIfNegative val="0"/>
            <c:bubble3D val="0"/>
            <c:spPr>
              <a:solidFill>
                <a:srgbClr val="66FF33"/>
              </a:solidFill>
            </c:spPr>
            <c:extLst>
              <c:ext xmlns:c16="http://schemas.microsoft.com/office/drawing/2014/chart" uri="{C3380CC4-5D6E-409C-BE32-E72D297353CC}">
                <c16:uniqueId val="{00000003-FFFC-4B3E-BC2A-2E1B62215AE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FFC-4B3E-BC2A-2E1B62215AE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FFC-4B3E-BC2A-2E1B62215AE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FFC-4B3E-BC2A-2E1B62215AEB}"/>
              </c:ext>
            </c:extLst>
          </c:dPt>
          <c:dPt>
            <c:idx val="13"/>
            <c:invertIfNegative val="0"/>
            <c:bubble3D val="0"/>
            <c:spPr>
              <a:gradFill>
                <a:gsLst>
                  <a:gs pos="62000">
                    <a:schemeClr val="accent2">
                      <a:lumMod val="40000"/>
                      <a:lumOff val="60000"/>
                    </a:schemeClr>
                  </a:gs>
                  <a:gs pos="0">
                    <a:schemeClr val="accent2">
                      <a:lumMod val="40000"/>
                      <a:lumOff val="60000"/>
                    </a:schemeClr>
                  </a:gs>
                  <a:gs pos="100000">
                    <a:schemeClr val="accent2">
                      <a:lumMod val="20000"/>
                      <a:lumOff val="80000"/>
                    </a:schemeClr>
                  </a:gs>
                </a:gsLst>
              </a:gradFill>
            </c:spPr>
            <c:extLst>
              <c:ext xmlns:c16="http://schemas.microsoft.com/office/drawing/2014/chart" uri="{C3380CC4-5D6E-409C-BE32-E72D297353CC}">
                <c16:uniqueId val="{00000008-FFFC-4B3E-BC2A-2E1B62215AEB}"/>
              </c:ext>
            </c:extLst>
          </c:dPt>
          <c:dLbls>
            <c:spPr>
              <a:noFill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'2'!$L$4:$L$25</c:f>
              <c:strCache>
                <c:ptCount val="22"/>
                <c:pt idx="0">
                  <c:v>Łańcut</c:v>
                </c:pt>
                <c:pt idx="1">
                  <c:v>Jasło</c:v>
                </c:pt>
                <c:pt idx="2">
                  <c:v>Tarnobrzeg</c:v>
                </c:pt>
                <c:pt idx="3">
                  <c:v>Nisko</c:v>
                </c:pt>
                <c:pt idx="4">
                  <c:v>Leżajsk</c:v>
                </c:pt>
                <c:pt idx="5">
                  <c:v>Ustrzyki Dolne</c:v>
                </c:pt>
                <c:pt idx="6">
                  <c:v>Przemyśl</c:v>
                </c:pt>
                <c:pt idx="7">
                  <c:v>Krosno</c:v>
                </c:pt>
                <c:pt idx="8">
                  <c:v>Lubaczów</c:v>
                </c:pt>
                <c:pt idx="9">
                  <c:v>Podkarpacie</c:v>
                </c:pt>
                <c:pt idx="10">
                  <c:v>Dębica</c:v>
                </c:pt>
                <c:pt idx="11">
                  <c:v>Rzeszów</c:v>
                </c:pt>
                <c:pt idx="12">
                  <c:v>Sanok</c:v>
                </c:pt>
                <c:pt idx="13">
                  <c:v>Przeworsk</c:v>
                </c:pt>
                <c:pt idx="14">
                  <c:v>Strzyżów</c:v>
                </c:pt>
                <c:pt idx="15">
                  <c:v>Brzozów</c:v>
                </c:pt>
                <c:pt idx="16">
                  <c:v>Jarosław</c:v>
                </c:pt>
                <c:pt idx="17">
                  <c:v>Stalowa Wola</c:v>
                </c:pt>
                <c:pt idx="18">
                  <c:v>Mielec</c:v>
                </c:pt>
                <c:pt idx="19">
                  <c:v>Ropczyce</c:v>
                </c:pt>
                <c:pt idx="20">
                  <c:v>Kolbuszowa</c:v>
                </c:pt>
                <c:pt idx="21">
                  <c:v>Lesko</c:v>
                </c:pt>
              </c:strCache>
            </c:strRef>
          </c:cat>
          <c:val>
            <c:numRef>
              <c:f>'2'!$M$4:$M$25</c:f>
              <c:numCache>
                <c:formatCode>#\ ##0.0</c:formatCode>
                <c:ptCount val="22"/>
                <c:pt idx="0">
                  <c:v>24.731182795698924</c:v>
                </c:pt>
                <c:pt idx="1">
                  <c:v>34.782608695652172</c:v>
                </c:pt>
                <c:pt idx="2">
                  <c:v>37.142857142857146</c:v>
                </c:pt>
                <c:pt idx="3">
                  <c:v>37.681159420289859</c:v>
                </c:pt>
                <c:pt idx="4">
                  <c:v>39.784946236559136</c:v>
                </c:pt>
                <c:pt idx="5">
                  <c:v>40</c:v>
                </c:pt>
                <c:pt idx="6">
                  <c:v>44.776119402985074</c:v>
                </c:pt>
                <c:pt idx="7">
                  <c:v>45.283018867924532</c:v>
                </c:pt>
                <c:pt idx="8">
                  <c:v>50</c:v>
                </c:pt>
                <c:pt idx="9">
                  <c:v>52.031978680879412</c:v>
                </c:pt>
                <c:pt idx="10">
                  <c:v>52.631578947368418</c:v>
                </c:pt>
                <c:pt idx="11">
                  <c:v>55.313351498637594</c:v>
                </c:pt>
                <c:pt idx="12">
                  <c:v>55.833333333333336</c:v>
                </c:pt>
                <c:pt idx="13">
                  <c:v>56.862745098039213</c:v>
                </c:pt>
                <c:pt idx="14">
                  <c:v>57.692307692307686</c:v>
                </c:pt>
                <c:pt idx="15">
                  <c:v>59.259259259259252</c:v>
                </c:pt>
                <c:pt idx="16">
                  <c:v>66.666666666666657</c:v>
                </c:pt>
                <c:pt idx="17">
                  <c:v>68.387096774193552</c:v>
                </c:pt>
                <c:pt idx="18">
                  <c:v>69.230769230769226</c:v>
                </c:pt>
                <c:pt idx="19">
                  <c:v>77.272727272727266</c:v>
                </c:pt>
                <c:pt idx="20">
                  <c:v>82.857142857142861</c:v>
                </c:pt>
                <c:pt idx="2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FFC-4B3E-BC2A-2E1B62215A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16458752"/>
        <c:axId val="216462080"/>
      </c:barChart>
      <c:catAx>
        <c:axId val="216458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16462080"/>
        <c:crosses val="autoZero"/>
        <c:auto val="1"/>
        <c:lblAlgn val="ctr"/>
        <c:lblOffset val="100"/>
        <c:noMultiLvlLbl val="0"/>
      </c:catAx>
      <c:valAx>
        <c:axId val="216462080"/>
        <c:scaling>
          <c:orientation val="minMax"/>
        </c:scaling>
        <c:delete val="1"/>
        <c:axPos val="b"/>
        <c:numFmt formatCode="#\ ##0.0" sourceLinked="1"/>
        <c:majorTickMark val="none"/>
        <c:minorTickMark val="none"/>
        <c:tickLblPos val="nextTo"/>
        <c:crossAx val="21645875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048692037579222E-2"/>
          <c:y val="5.8148022455336748E-2"/>
          <c:w val="0.96411791913665212"/>
          <c:h val="0.722184409049629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'15-21'!$C$13</c:f>
              <c:strCache>
                <c:ptCount val="1"/>
                <c:pt idx="0">
                  <c:v>Efektywność kosztowa (w proc.)</c:v>
                </c:pt>
              </c:strCache>
            </c:strRef>
          </c:tx>
          <c:spPr>
            <a:gradFill>
              <a:gsLst>
                <a:gs pos="100000">
                  <a:srgbClr val="FF9900"/>
                </a:gs>
                <a:gs pos="34000">
                  <a:schemeClr val="accent6">
                    <a:lumMod val="92000"/>
                  </a:schemeClr>
                </a:gs>
                <a:gs pos="0">
                  <a:srgbClr val="FFC000"/>
                </a:gs>
              </a:gsLst>
              <a:lin ang="5400000" scaled="1"/>
            </a:gradFill>
            <a:scene3d>
              <a:camera prst="orthographicFront"/>
              <a:lightRig rig="threePt" dir="t"/>
            </a:scene3d>
            <a:sp3d>
              <a:bevelT prst="angle"/>
              <a:bevelB prst="angle"/>
            </a:sp3d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F75-45FD-AD84-DBA1E89B7298}"/>
              </c:ext>
            </c:extLst>
          </c:dPt>
          <c:dPt>
            <c:idx val="2"/>
            <c:invertIfNegative val="0"/>
            <c:bubble3D val="0"/>
            <c:spPr>
              <a:solidFill>
                <a:srgbClr val="99FF66"/>
              </a:solidFill>
              <a:scene3d>
                <a:camera prst="orthographicFront"/>
                <a:lightRig rig="threePt" dir="t"/>
              </a:scene3d>
              <a:sp3d>
                <a:bevelT prst="angle"/>
                <a:bevelB prst="angle"/>
              </a:sp3d>
            </c:spPr>
            <c:extLst>
              <c:ext xmlns:c16="http://schemas.microsoft.com/office/drawing/2014/chart" uri="{C3380CC4-5D6E-409C-BE32-E72D297353CC}">
                <c16:uniqueId val="{00000002-9F75-45FD-AD84-DBA1E89B7298}"/>
              </c:ext>
            </c:extLst>
          </c:dPt>
          <c:dPt>
            <c:idx val="3"/>
            <c:invertIfNegative val="0"/>
            <c:bubble3D val="0"/>
            <c:spPr>
              <a:solidFill>
                <a:srgbClr val="99FF66"/>
              </a:solidFill>
              <a:scene3d>
                <a:camera prst="orthographicFront"/>
                <a:lightRig rig="threePt" dir="t"/>
              </a:scene3d>
              <a:sp3d>
                <a:bevelT prst="angle"/>
                <a:bevelB prst="angle"/>
              </a:sp3d>
            </c:spPr>
            <c:extLst>
              <c:ext xmlns:c16="http://schemas.microsoft.com/office/drawing/2014/chart" uri="{C3380CC4-5D6E-409C-BE32-E72D297353CC}">
                <c16:uniqueId val="{00000004-9F75-45FD-AD84-DBA1E89B729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F75-45FD-AD84-DBA1E89B7298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F75-45FD-AD84-DBA1E89B729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F75-45FD-AD84-DBA1E89B7298}"/>
              </c:ext>
            </c:extLst>
          </c:dPt>
          <c:dLbls>
            <c:dLbl>
              <c:idx val="0"/>
              <c:layout>
                <c:manualLayout>
                  <c:x val="3.7096173978826692E-6"/>
                  <c:y val="9.5399899030771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75-45FD-AD84-DBA1E89B7298}"/>
                </c:ext>
              </c:extLst>
            </c:dLbl>
            <c:dLbl>
              <c:idx val="1"/>
              <c:layout>
                <c:manualLayout>
                  <c:x val="2.4460045663437738E-3"/>
                  <c:y val="8.3564417697988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75-45FD-AD84-DBA1E89B7298}"/>
                </c:ext>
              </c:extLst>
            </c:dLbl>
            <c:dLbl>
              <c:idx val="2"/>
              <c:layout>
                <c:manualLayout>
                  <c:x val="0"/>
                  <c:y val="8.218708788255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75-45FD-AD84-DBA1E89B7298}"/>
                </c:ext>
              </c:extLst>
            </c:dLbl>
            <c:dLbl>
              <c:idx val="3"/>
              <c:layout>
                <c:manualLayout>
                  <c:x val="4.9663967236659142E-3"/>
                  <c:y val="7.4397367225901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75-45FD-AD84-DBA1E89B7298}"/>
                </c:ext>
              </c:extLst>
            </c:dLbl>
            <c:dLbl>
              <c:idx val="4"/>
              <c:layout>
                <c:manualLayout>
                  <c:x val="4.9663967236659142E-3"/>
                  <c:y val="7.7588123035637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75-45FD-AD84-DBA1E89B7298}"/>
                </c:ext>
              </c:extLst>
            </c:dLbl>
            <c:dLbl>
              <c:idx val="5"/>
              <c:layout>
                <c:manualLayout>
                  <c:x val="2.4832959833434275E-3"/>
                  <c:y val="7.4510105516631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75-45FD-AD84-DBA1E89B7298}"/>
                </c:ext>
              </c:extLst>
            </c:dLbl>
            <c:dLbl>
              <c:idx val="6"/>
              <c:layout>
                <c:manualLayout>
                  <c:x val="1.0347880109851533E-5"/>
                  <c:y val="7.8833779188511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75-45FD-AD84-DBA1E89B7298}"/>
                </c:ext>
              </c:extLst>
            </c:dLbl>
            <c:dLbl>
              <c:idx val="7"/>
              <c:layout>
                <c:manualLayout>
                  <c:x val="-1.947256986709387E-7"/>
                  <c:y val="9.0523575862292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75-45FD-AD84-DBA1E89B7298}"/>
                </c:ext>
              </c:extLst>
            </c:dLbl>
            <c:dLbl>
              <c:idx val="8"/>
              <c:layout>
                <c:manualLayout>
                  <c:x val="2.4730163731209215E-3"/>
                  <c:y val="7.6521345926407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75-45FD-AD84-DBA1E89B7298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800" b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'15-21'!$B$14:$B$22</c:f>
              <c:strCache>
                <c:ptCount val="9"/>
                <c:pt idx="0">
                  <c:v>Refundacja kosztów wyposażenia lub doposażenia miejsca pracy</c:v>
                </c:pt>
                <c:pt idx="1">
                  <c:v>Dofinansowanie działalności gospodarczej</c:v>
                </c:pt>
                <c:pt idx="2">
                  <c:v>Razem 6 form (do por.)</c:v>
                </c:pt>
                <c:pt idx="3">
                  <c:v>Razem 7 podstawowych form</c:v>
                </c:pt>
                <c:pt idx="4">
                  <c:v>Roboty publiczne</c:v>
                </c:pt>
                <c:pt idx="5">
                  <c:v>Staże</c:v>
                </c:pt>
                <c:pt idx="6">
                  <c:v>Bon na zasiedlenie</c:v>
                </c:pt>
                <c:pt idx="7">
                  <c:v>Prace interwencyjne</c:v>
                </c:pt>
                <c:pt idx="8">
                  <c:v>Szkolenia</c:v>
                </c:pt>
              </c:strCache>
            </c:strRef>
          </c:cat>
          <c:val>
            <c:numRef>
              <c:f>'15-21'!$C$14:$C$22</c:f>
              <c:numCache>
                <c:formatCode>#\ ##0.0</c:formatCode>
                <c:ptCount val="9"/>
                <c:pt idx="0">
                  <c:v>53083.715462184882</c:v>
                </c:pt>
                <c:pt idx="1">
                  <c:v>29182.742895805139</c:v>
                </c:pt>
                <c:pt idx="2">
                  <c:v>17604.605179970695</c:v>
                </c:pt>
                <c:pt idx="3">
                  <c:v>17253.479125827813</c:v>
                </c:pt>
                <c:pt idx="4">
                  <c:v>17225.128580246914</c:v>
                </c:pt>
                <c:pt idx="5">
                  <c:v>13014.846298394712</c:v>
                </c:pt>
                <c:pt idx="6">
                  <c:v>11216.649255202628</c:v>
                </c:pt>
                <c:pt idx="7">
                  <c:v>8721.5238630299427</c:v>
                </c:pt>
                <c:pt idx="8">
                  <c:v>7250.3362483994897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F75-45FD-AD84-DBA1E89B72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207736192"/>
        <c:axId val="209263616"/>
      </c:barChart>
      <c:catAx>
        <c:axId val="20773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55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9263616"/>
        <c:crosses val="autoZero"/>
        <c:auto val="1"/>
        <c:lblAlgn val="ctr"/>
        <c:lblOffset val="100"/>
        <c:noMultiLvlLbl val="0"/>
      </c:catAx>
      <c:valAx>
        <c:axId val="209263616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75000"/>
                  <a:alpha val="57000"/>
                </a:schemeClr>
              </a:solidFill>
            </a:ln>
          </c:spPr>
        </c:majorGridlines>
        <c:minorGridlines>
          <c:spPr>
            <a:ln>
              <a:solidFill>
                <a:srgbClr val="FF9900">
                  <a:alpha val="33000"/>
                </a:srgb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ln>
            <a:solidFill>
              <a:srgbClr val="C00000"/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0773619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'3'!$C$29</c:f>
              <c:strCache>
                <c:ptCount val="1"/>
                <c:pt idx="0">
                  <c:v>a</c:v>
                </c:pt>
              </c:strCache>
            </c:strRef>
          </c:tx>
          <c:spPr>
            <a:gradFill>
              <a:gsLst>
                <a:gs pos="62000">
                  <a:schemeClr val="accent2">
                    <a:lumMod val="40000"/>
                    <a:lumOff val="60000"/>
                  </a:schemeClr>
                </a:gs>
                <a:gs pos="0">
                  <a:schemeClr val="accent2">
                    <a:lumMod val="60000"/>
                    <a:lumOff val="40000"/>
                  </a:schemeClr>
                </a:gs>
                <a:gs pos="100000">
                  <a:schemeClr val="accent2">
                    <a:lumMod val="20000"/>
                    <a:lumOff val="80000"/>
                  </a:scheme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4B4-4D37-B7CE-5622E96B4FC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4B4-4D37-B7CE-5622E96B4FC0}"/>
              </c:ext>
            </c:extLst>
          </c:dPt>
          <c:dPt>
            <c:idx val="6"/>
            <c:invertIfNegative val="0"/>
            <c:bubble3D val="0"/>
            <c:spPr>
              <a:solidFill>
                <a:srgbClr val="66FF33"/>
              </a:solidFill>
            </c:spPr>
            <c:extLst>
              <c:ext xmlns:c16="http://schemas.microsoft.com/office/drawing/2014/chart" uri="{C3380CC4-5D6E-409C-BE32-E72D297353CC}">
                <c16:uniqueId val="{00000003-84B4-4D37-B7CE-5622E96B4FC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4B4-4D37-B7CE-5622E96B4FC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4B4-4D37-B7CE-5622E96B4FC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4B4-4D37-B7CE-5622E96B4FC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4B4-4D37-B7CE-5622E96B4F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'3'!$L$4:$L$25</c:f>
              <c:strCache>
                <c:ptCount val="22"/>
                <c:pt idx="0">
                  <c:v>Ropczyce</c:v>
                </c:pt>
                <c:pt idx="1">
                  <c:v>Mielec</c:v>
                </c:pt>
                <c:pt idx="2">
                  <c:v>Nisko</c:v>
                </c:pt>
                <c:pt idx="3">
                  <c:v>Przeworsk</c:v>
                </c:pt>
                <c:pt idx="4">
                  <c:v>Rzeszów</c:v>
                </c:pt>
                <c:pt idx="5">
                  <c:v>Leżajsk</c:v>
                </c:pt>
                <c:pt idx="6">
                  <c:v>Podkarpacie</c:v>
                </c:pt>
                <c:pt idx="7">
                  <c:v>Jasło</c:v>
                </c:pt>
                <c:pt idx="8">
                  <c:v>Sanok</c:v>
                </c:pt>
                <c:pt idx="9">
                  <c:v>Lesko</c:v>
                </c:pt>
                <c:pt idx="10">
                  <c:v>Tarnobrzeg</c:v>
                </c:pt>
                <c:pt idx="11">
                  <c:v>Brzozów</c:v>
                </c:pt>
                <c:pt idx="12">
                  <c:v>Krosno</c:v>
                </c:pt>
                <c:pt idx="13">
                  <c:v>Strzyżów</c:v>
                </c:pt>
                <c:pt idx="14">
                  <c:v>Ustrzyki Dolne</c:v>
                </c:pt>
                <c:pt idx="15">
                  <c:v>Jarosław</c:v>
                </c:pt>
                <c:pt idx="16">
                  <c:v>Przemyśl</c:v>
                </c:pt>
                <c:pt idx="17">
                  <c:v>Lubaczów</c:v>
                </c:pt>
                <c:pt idx="18">
                  <c:v>Kolbuszowa</c:v>
                </c:pt>
                <c:pt idx="19">
                  <c:v>Dębica</c:v>
                </c:pt>
                <c:pt idx="20">
                  <c:v>Stalowa Wola</c:v>
                </c:pt>
                <c:pt idx="21">
                  <c:v>Łańcut</c:v>
                </c:pt>
              </c:strCache>
            </c:strRef>
          </c:cat>
          <c:val>
            <c:numRef>
              <c:f>'3'!$M$4:$M$25</c:f>
              <c:numCache>
                <c:formatCode>#\ ##0.0</c:formatCode>
                <c:ptCount val="22"/>
                <c:pt idx="0">
                  <c:v>81.818181818181827</c:v>
                </c:pt>
                <c:pt idx="1">
                  <c:v>84.063745019920319</c:v>
                </c:pt>
                <c:pt idx="2">
                  <c:v>86.797752808988761</c:v>
                </c:pt>
                <c:pt idx="3">
                  <c:v>89.562289562289564</c:v>
                </c:pt>
                <c:pt idx="4">
                  <c:v>90.099009900990097</c:v>
                </c:pt>
                <c:pt idx="5">
                  <c:v>93.181818181818173</c:v>
                </c:pt>
                <c:pt idx="6">
                  <c:v>93.357320786050366</c:v>
                </c:pt>
                <c:pt idx="7">
                  <c:v>93.589743589743591</c:v>
                </c:pt>
                <c:pt idx="8">
                  <c:v>93.75</c:v>
                </c:pt>
                <c:pt idx="9">
                  <c:v>94.594594594594597</c:v>
                </c:pt>
                <c:pt idx="10">
                  <c:v>96.385542168674704</c:v>
                </c:pt>
                <c:pt idx="11">
                  <c:v>96.428571428571431</c:v>
                </c:pt>
                <c:pt idx="12">
                  <c:v>96.428571428571431</c:v>
                </c:pt>
                <c:pt idx="13">
                  <c:v>96.491228070175438</c:v>
                </c:pt>
                <c:pt idx="14">
                  <c:v>97.087378640776706</c:v>
                </c:pt>
                <c:pt idx="15">
                  <c:v>97.407407407407405</c:v>
                </c:pt>
                <c:pt idx="16">
                  <c:v>97.628458498023718</c:v>
                </c:pt>
                <c:pt idx="17">
                  <c:v>98.101265822784811</c:v>
                </c:pt>
                <c:pt idx="18">
                  <c:v>98.260869565217391</c:v>
                </c:pt>
                <c:pt idx="19">
                  <c:v>98.75</c:v>
                </c:pt>
                <c:pt idx="20">
                  <c:v>99.236641221374043</c:v>
                </c:pt>
                <c:pt idx="21">
                  <c:v>99.350649350649363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B4-4D37-B7CE-5622E96B4F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13975040"/>
        <c:axId val="213978112"/>
      </c:barChart>
      <c:catAx>
        <c:axId val="21397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13978112"/>
        <c:crosses val="autoZero"/>
        <c:auto val="1"/>
        <c:lblAlgn val="ctr"/>
        <c:lblOffset val="100"/>
        <c:noMultiLvlLbl val="0"/>
      </c:catAx>
      <c:valAx>
        <c:axId val="213978112"/>
        <c:scaling>
          <c:orientation val="minMax"/>
        </c:scaling>
        <c:delete val="1"/>
        <c:axPos val="b"/>
        <c:numFmt formatCode="#\ ##0.0" sourceLinked="1"/>
        <c:majorTickMark val="none"/>
        <c:minorTickMark val="none"/>
        <c:tickLblPos val="nextTo"/>
        <c:crossAx val="21397504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'4'!$C$30</c:f>
              <c:strCache>
                <c:ptCount val="1"/>
                <c:pt idx="0">
                  <c:v>a</c:v>
                </c:pt>
              </c:strCache>
            </c:strRef>
          </c:tx>
          <c:spPr>
            <a:gradFill>
              <a:gsLst>
                <a:gs pos="62000">
                  <a:schemeClr val="accent2">
                    <a:lumMod val="40000"/>
                    <a:lumOff val="60000"/>
                  </a:schemeClr>
                </a:gs>
                <a:gs pos="0">
                  <a:schemeClr val="accent2">
                    <a:lumMod val="60000"/>
                    <a:lumOff val="40000"/>
                  </a:schemeClr>
                </a:gs>
                <a:gs pos="100000">
                  <a:schemeClr val="accent2">
                    <a:lumMod val="20000"/>
                    <a:lumOff val="80000"/>
                  </a:scheme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A6E-47AC-8318-EB07D792D5D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A6E-47AC-8318-EB07D792D5D0}"/>
              </c:ext>
            </c:extLst>
          </c:dPt>
          <c:dPt>
            <c:idx val="6"/>
            <c:invertIfNegative val="0"/>
            <c:bubble3D val="0"/>
            <c:spPr>
              <a:gradFill>
                <a:gsLst>
                  <a:gs pos="62000">
                    <a:schemeClr val="accent2">
                      <a:lumMod val="40000"/>
                      <a:lumOff val="60000"/>
                    </a:schemeClr>
                  </a:gs>
                  <a:gs pos="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20000"/>
                      <a:lumOff val="80000"/>
                    </a:schemeClr>
                  </a:gs>
                </a:gsLst>
              </a:gradFill>
            </c:spPr>
            <c:extLst>
              <c:ext xmlns:c16="http://schemas.microsoft.com/office/drawing/2014/chart" uri="{C3380CC4-5D6E-409C-BE32-E72D297353CC}">
                <c16:uniqueId val="{00000003-EA6E-47AC-8318-EB07D792D5D0}"/>
              </c:ext>
            </c:extLst>
          </c:dPt>
          <c:dPt>
            <c:idx val="7"/>
            <c:invertIfNegative val="0"/>
            <c:bubble3D val="0"/>
            <c:spPr>
              <a:solidFill>
                <a:srgbClr val="66FF33"/>
              </a:solidFill>
            </c:spPr>
            <c:extLst>
              <c:ext xmlns:c16="http://schemas.microsoft.com/office/drawing/2014/chart" uri="{C3380CC4-5D6E-409C-BE32-E72D297353CC}">
                <c16:uniqueId val="{00000004-EA6E-47AC-8318-EB07D792D5D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A6E-47AC-8318-EB07D792D5D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A6E-47AC-8318-EB07D792D5D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A6E-47AC-8318-EB07D792D5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'4'!$L$4:$L$25</c:f>
              <c:strCache>
                <c:ptCount val="22"/>
                <c:pt idx="0">
                  <c:v>Nisko</c:v>
                </c:pt>
                <c:pt idx="1">
                  <c:v>Dębica</c:v>
                </c:pt>
                <c:pt idx="2">
                  <c:v>Rzeszów</c:v>
                </c:pt>
                <c:pt idx="3">
                  <c:v>Lesko</c:v>
                </c:pt>
                <c:pt idx="4">
                  <c:v>Przeworsk</c:v>
                </c:pt>
                <c:pt idx="5">
                  <c:v>Stalowa Wola</c:v>
                </c:pt>
                <c:pt idx="6">
                  <c:v>Ropczyce</c:v>
                </c:pt>
                <c:pt idx="7">
                  <c:v>Podkarpacie</c:v>
                </c:pt>
                <c:pt idx="8">
                  <c:v>Leżajsk</c:v>
                </c:pt>
                <c:pt idx="9">
                  <c:v>Przemyśl</c:v>
                </c:pt>
                <c:pt idx="10">
                  <c:v>Brzozów</c:v>
                </c:pt>
                <c:pt idx="11">
                  <c:v>Krosno</c:v>
                </c:pt>
                <c:pt idx="12">
                  <c:v>Tarnobrzeg</c:v>
                </c:pt>
                <c:pt idx="13">
                  <c:v>Łańcut</c:v>
                </c:pt>
                <c:pt idx="14">
                  <c:v>Mielec</c:v>
                </c:pt>
                <c:pt idx="15">
                  <c:v>Jarosław</c:v>
                </c:pt>
                <c:pt idx="16">
                  <c:v>Ustrzyki Dolne</c:v>
                </c:pt>
                <c:pt idx="17">
                  <c:v>Jasło</c:v>
                </c:pt>
                <c:pt idx="18">
                  <c:v>Kolbuszowa</c:v>
                </c:pt>
                <c:pt idx="19">
                  <c:v>Lubaczów</c:v>
                </c:pt>
                <c:pt idx="20">
                  <c:v>Sanok</c:v>
                </c:pt>
                <c:pt idx="21">
                  <c:v>Strzyżów</c:v>
                </c:pt>
              </c:strCache>
            </c:strRef>
          </c:cat>
          <c:val>
            <c:numRef>
              <c:f>'4'!$M$4:$M$25</c:f>
              <c:numCache>
                <c:formatCode>#\ ##0.0</c:formatCode>
                <c:ptCount val="22"/>
                <c:pt idx="0">
                  <c:v>72.222222222222214</c:v>
                </c:pt>
                <c:pt idx="1">
                  <c:v>75</c:v>
                </c:pt>
                <c:pt idx="2">
                  <c:v>82.051282051282044</c:v>
                </c:pt>
                <c:pt idx="3">
                  <c:v>83.333333333333343</c:v>
                </c:pt>
                <c:pt idx="4">
                  <c:v>88.535031847133766</c:v>
                </c:pt>
                <c:pt idx="5">
                  <c:v>92.592592592592595</c:v>
                </c:pt>
                <c:pt idx="6">
                  <c:v>92.957746478873233</c:v>
                </c:pt>
                <c:pt idx="7">
                  <c:v>94.23585404547859</c:v>
                </c:pt>
                <c:pt idx="8">
                  <c:v>94.73684210526315</c:v>
                </c:pt>
                <c:pt idx="9">
                  <c:v>94.85294117647058</c:v>
                </c:pt>
                <c:pt idx="10">
                  <c:v>95.161290322580655</c:v>
                </c:pt>
                <c:pt idx="11">
                  <c:v>96.428571428571431</c:v>
                </c:pt>
                <c:pt idx="12">
                  <c:v>97.132616487455195</c:v>
                </c:pt>
                <c:pt idx="13">
                  <c:v>97.61904761904762</c:v>
                </c:pt>
                <c:pt idx="14">
                  <c:v>98.461538461538467</c:v>
                </c:pt>
                <c:pt idx="15">
                  <c:v>99.625468164794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6E-47AC-8318-EB07D792D5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14034688"/>
        <c:axId val="227026432"/>
      </c:barChart>
      <c:catAx>
        <c:axId val="214034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l-PL"/>
          </a:p>
        </c:txPr>
        <c:crossAx val="227026432"/>
        <c:crosses val="autoZero"/>
        <c:auto val="1"/>
        <c:lblAlgn val="ctr"/>
        <c:lblOffset val="100"/>
        <c:noMultiLvlLbl val="0"/>
      </c:catAx>
      <c:valAx>
        <c:axId val="227026432"/>
        <c:scaling>
          <c:orientation val="minMax"/>
        </c:scaling>
        <c:delete val="1"/>
        <c:axPos val="b"/>
        <c:numFmt formatCode="#\ ##0.0" sourceLinked="1"/>
        <c:majorTickMark val="none"/>
        <c:minorTickMark val="none"/>
        <c:tickLblPos val="nextTo"/>
        <c:crossAx val="21403468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84285599397567"/>
          <c:y val="3.5242290748898682E-2"/>
          <c:w val="0.8423402715329108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'5'!$C$31</c:f>
              <c:strCache>
                <c:ptCount val="1"/>
                <c:pt idx="0">
                  <c:v>a</c:v>
                </c:pt>
              </c:strCache>
            </c:strRef>
          </c:tx>
          <c:spPr>
            <a:gradFill>
              <a:gsLst>
                <a:gs pos="62000">
                  <a:schemeClr val="accent2">
                    <a:lumMod val="40000"/>
                    <a:lumOff val="60000"/>
                  </a:schemeClr>
                </a:gs>
                <a:gs pos="0">
                  <a:schemeClr val="accent2">
                    <a:lumMod val="60000"/>
                    <a:lumOff val="40000"/>
                  </a:schemeClr>
                </a:gs>
                <a:gs pos="100000">
                  <a:schemeClr val="accent2">
                    <a:lumMod val="20000"/>
                    <a:lumOff val="80000"/>
                  </a:scheme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3C4-45B4-B514-71135021AE2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3C4-45B4-B514-71135021AE2A}"/>
              </c:ext>
            </c:extLst>
          </c:dPt>
          <c:dPt>
            <c:idx val="7"/>
            <c:invertIfNegative val="0"/>
            <c:bubble3D val="0"/>
            <c:spPr>
              <a:gradFill>
                <a:gsLst>
                  <a:gs pos="62000">
                    <a:schemeClr val="accent2">
                      <a:lumMod val="40000"/>
                      <a:lumOff val="60000"/>
                    </a:schemeClr>
                  </a:gs>
                  <a:gs pos="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20000"/>
                      <a:lumOff val="80000"/>
                    </a:schemeClr>
                  </a:gs>
                </a:gsLst>
              </a:gradFill>
            </c:spPr>
            <c:extLst>
              <c:ext xmlns:c16="http://schemas.microsoft.com/office/drawing/2014/chart" uri="{C3380CC4-5D6E-409C-BE32-E72D297353CC}">
                <c16:uniqueId val="{00000003-43C4-45B4-B514-71135021AE2A}"/>
              </c:ext>
            </c:extLst>
          </c:dPt>
          <c:dPt>
            <c:idx val="8"/>
            <c:invertIfNegative val="0"/>
            <c:bubble3D val="0"/>
            <c:spPr>
              <a:solidFill>
                <a:srgbClr val="66FF33"/>
              </a:solidFill>
            </c:spPr>
            <c:extLst>
              <c:ext xmlns:c16="http://schemas.microsoft.com/office/drawing/2014/chart" uri="{C3380CC4-5D6E-409C-BE32-E72D297353CC}">
                <c16:uniqueId val="{00000004-43C4-45B4-B514-71135021AE2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3C4-45B4-B514-71135021AE2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3C4-45B4-B514-71135021AE2A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3C4-45B4-B514-71135021AE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'5'!$L$4:$L$25</c:f>
              <c:strCache>
                <c:ptCount val="22"/>
                <c:pt idx="0">
                  <c:v>Lesko</c:v>
                </c:pt>
                <c:pt idx="1">
                  <c:v>Lubaczów</c:v>
                </c:pt>
                <c:pt idx="2">
                  <c:v>Stalowa Wola</c:v>
                </c:pt>
                <c:pt idx="3">
                  <c:v>Przemyśl</c:v>
                </c:pt>
                <c:pt idx="4">
                  <c:v>Przeworsk</c:v>
                </c:pt>
                <c:pt idx="5">
                  <c:v>Ropczyce</c:v>
                </c:pt>
                <c:pt idx="6">
                  <c:v>Nisko</c:v>
                </c:pt>
                <c:pt idx="7">
                  <c:v>Ustrzyki Dolne</c:v>
                </c:pt>
                <c:pt idx="8">
                  <c:v>Podkarpacie</c:v>
                </c:pt>
                <c:pt idx="9">
                  <c:v>Leżajsk</c:v>
                </c:pt>
                <c:pt idx="10">
                  <c:v>Strzyżów</c:v>
                </c:pt>
                <c:pt idx="11">
                  <c:v>Rzeszów</c:v>
                </c:pt>
                <c:pt idx="12">
                  <c:v>Jasło</c:v>
                </c:pt>
                <c:pt idx="13">
                  <c:v>Krosno</c:v>
                </c:pt>
                <c:pt idx="14">
                  <c:v>Mielec</c:v>
                </c:pt>
                <c:pt idx="15">
                  <c:v>Kolbuszowa</c:v>
                </c:pt>
                <c:pt idx="16">
                  <c:v>Brzozów</c:v>
                </c:pt>
                <c:pt idx="17">
                  <c:v>Dębica</c:v>
                </c:pt>
                <c:pt idx="18">
                  <c:v>Jarosław</c:v>
                </c:pt>
                <c:pt idx="19">
                  <c:v>Łańcut</c:v>
                </c:pt>
                <c:pt idx="20">
                  <c:v>Sanok</c:v>
                </c:pt>
                <c:pt idx="21">
                  <c:v>Tarnobrzeg</c:v>
                </c:pt>
              </c:strCache>
            </c:strRef>
          </c:cat>
          <c:val>
            <c:numRef>
              <c:f>'5'!$M$4:$M$25</c:f>
              <c:numCache>
                <c:formatCode>#\ ##0.0</c:formatCode>
                <c:ptCount val="22"/>
                <c:pt idx="0">
                  <c:v>82.857142857142861</c:v>
                </c:pt>
                <c:pt idx="1">
                  <c:v>84.05797101449275</c:v>
                </c:pt>
                <c:pt idx="2">
                  <c:v>88.659793814432987</c:v>
                </c:pt>
                <c:pt idx="3">
                  <c:v>89.65517241379311</c:v>
                </c:pt>
                <c:pt idx="4">
                  <c:v>91.025641025641022</c:v>
                </c:pt>
                <c:pt idx="5">
                  <c:v>92.125984251968504</c:v>
                </c:pt>
                <c:pt idx="6">
                  <c:v>92.20779220779221</c:v>
                </c:pt>
                <c:pt idx="7">
                  <c:v>94.827586206896555</c:v>
                </c:pt>
                <c:pt idx="8">
                  <c:v>95.395869191049911</c:v>
                </c:pt>
                <c:pt idx="9">
                  <c:v>95.689655172413794</c:v>
                </c:pt>
                <c:pt idx="10">
                  <c:v>96.590909090909093</c:v>
                </c:pt>
                <c:pt idx="11">
                  <c:v>97.206703910614522</c:v>
                </c:pt>
                <c:pt idx="12">
                  <c:v>97.883597883597886</c:v>
                </c:pt>
                <c:pt idx="13">
                  <c:v>98.165137614678898</c:v>
                </c:pt>
                <c:pt idx="14">
                  <c:v>98.165137614678898</c:v>
                </c:pt>
                <c:pt idx="15">
                  <c:v>98.387096774193552</c:v>
                </c:pt>
                <c:pt idx="16">
                  <c:v>99.090909090909093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C4-45B4-B514-71135021AE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27095296"/>
        <c:axId val="227106816"/>
      </c:barChart>
      <c:catAx>
        <c:axId val="22709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27106816"/>
        <c:crosses val="autoZero"/>
        <c:auto val="1"/>
        <c:lblAlgn val="ctr"/>
        <c:lblOffset val="100"/>
        <c:noMultiLvlLbl val="0"/>
      </c:catAx>
      <c:valAx>
        <c:axId val="227106816"/>
        <c:scaling>
          <c:orientation val="minMax"/>
        </c:scaling>
        <c:delete val="1"/>
        <c:axPos val="b"/>
        <c:numFmt formatCode="#\ ##0.0" sourceLinked="1"/>
        <c:majorTickMark val="none"/>
        <c:minorTickMark val="none"/>
        <c:tickLblPos val="nextTo"/>
        <c:crossAx val="2270952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'6'!$B$32</c:f>
              <c:strCache>
                <c:ptCount val="1"/>
                <c:pt idx="0">
                  <c:v>Refundacja kosztów wyposażenia i doposażenia stanowiska pracy</c:v>
                </c:pt>
              </c:strCache>
            </c:strRef>
          </c:tx>
          <c:spPr>
            <a:gradFill>
              <a:gsLst>
                <a:gs pos="62000">
                  <a:schemeClr val="accent2">
                    <a:lumMod val="40000"/>
                    <a:lumOff val="60000"/>
                  </a:schemeClr>
                </a:gs>
                <a:gs pos="0">
                  <a:schemeClr val="accent2">
                    <a:lumMod val="60000"/>
                    <a:lumOff val="40000"/>
                  </a:schemeClr>
                </a:gs>
                <a:gs pos="100000">
                  <a:schemeClr val="accent2">
                    <a:lumMod val="20000"/>
                    <a:lumOff val="80000"/>
                  </a:scheme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FD1-4790-83C4-F5D888C7E55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FD1-4790-83C4-F5D888C7E550}"/>
              </c:ext>
            </c:extLst>
          </c:dPt>
          <c:dPt>
            <c:idx val="6"/>
            <c:invertIfNegative val="0"/>
            <c:bubble3D val="0"/>
            <c:spPr>
              <a:gradFill>
                <a:gsLst>
                  <a:gs pos="62000">
                    <a:schemeClr val="accent2">
                      <a:lumMod val="40000"/>
                      <a:lumOff val="60000"/>
                    </a:schemeClr>
                  </a:gs>
                  <a:gs pos="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20000"/>
                      <a:lumOff val="80000"/>
                    </a:schemeClr>
                  </a:gs>
                </a:gsLst>
              </a:gradFill>
            </c:spPr>
            <c:extLst>
              <c:ext xmlns:c16="http://schemas.microsoft.com/office/drawing/2014/chart" uri="{C3380CC4-5D6E-409C-BE32-E72D297353CC}">
                <c16:uniqueId val="{00000003-7FD1-4790-83C4-F5D888C7E55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FD1-4790-83C4-F5D888C7E55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FD1-4790-83C4-F5D888C7E550}"/>
              </c:ext>
            </c:extLst>
          </c:dPt>
          <c:dPt>
            <c:idx val="10"/>
            <c:invertIfNegative val="0"/>
            <c:bubble3D val="0"/>
            <c:spPr>
              <a:solidFill>
                <a:srgbClr val="66FF33"/>
              </a:solidFill>
            </c:spPr>
            <c:extLst>
              <c:ext xmlns:c16="http://schemas.microsoft.com/office/drawing/2014/chart" uri="{C3380CC4-5D6E-409C-BE32-E72D297353CC}">
                <c16:uniqueId val="{00000006-7FD1-4790-83C4-F5D888C7E55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FD1-4790-83C4-F5D888C7E55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FD1-4790-83C4-F5D888C7E5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'6'!$L$4:$L$25</c:f>
              <c:strCache>
                <c:ptCount val="22"/>
                <c:pt idx="0">
                  <c:v>Lubaczów</c:v>
                </c:pt>
                <c:pt idx="1">
                  <c:v>Przeworsk</c:v>
                </c:pt>
                <c:pt idx="2">
                  <c:v>Leżajsk</c:v>
                </c:pt>
                <c:pt idx="3">
                  <c:v>Nisko</c:v>
                </c:pt>
                <c:pt idx="4">
                  <c:v>Przemyśl</c:v>
                </c:pt>
                <c:pt idx="5">
                  <c:v>Ropczyce</c:v>
                </c:pt>
                <c:pt idx="6">
                  <c:v>Jasło</c:v>
                </c:pt>
                <c:pt idx="7">
                  <c:v>Mielec</c:v>
                </c:pt>
                <c:pt idx="8">
                  <c:v>Ustrzyki Dolne</c:v>
                </c:pt>
                <c:pt idx="9">
                  <c:v>Krosno</c:v>
                </c:pt>
                <c:pt idx="10">
                  <c:v>Podkarpacie</c:v>
                </c:pt>
                <c:pt idx="11">
                  <c:v>Strzyżów</c:v>
                </c:pt>
                <c:pt idx="12">
                  <c:v>Rzeszów</c:v>
                </c:pt>
                <c:pt idx="13">
                  <c:v>Sanok</c:v>
                </c:pt>
                <c:pt idx="14">
                  <c:v>Kolbuszowa</c:v>
                </c:pt>
                <c:pt idx="15">
                  <c:v>Stalowa Wola</c:v>
                </c:pt>
                <c:pt idx="16">
                  <c:v>Dębica</c:v>
                </c:pt>
                <c:pt idx="17">
                  <c:v>Jarosław</c:v>
                </c:pt>
                <c:pt idx="18">
                  <c:v>Brzozów</c:v>
                </c:pt>
                <c:pt idx="19">
                  <c:v>Łańcut</c:v>
                </c:pt>
                <c:pt idx="20">
                  <c:v>Tarnobrzeg</c:v>
                </c:pt>
                <c:pt idx="21">
                  <c:v>Lesko</c:v>
                </c:pt>
              </c:strCache>
            </c:strRef>
          </c:cat>
          <c:val>
            <c:numRef>
              <c:f>'6'!$M$4:$M$25</c:f>
              <c:numCache>
                <c:formatCode>#\ ##0.0</c:formatCode>
                <c:ptCount val="22"/>
                <c:pt idx="0">
                  <c:v>0</c:v>
                </c:pt>
                <c:pt idx="1">
                  <c:v>76.785714285714292</c:v>
                </c:pt>
                <c:pt idx="2">
                  <c:v>80</c:v>
                </c:pt>
                <c:pt idx="3">
                  <c:v>81.395348837209298</c:v>
                </c:pt>
                <c:pt idx="4">
                  <c:v>81.818181818181827</c:v>
                </c:pt>
                <c:pt idx="5">
                  <c:v>82.022471910112358</c:v>
                </c:pt>
                <c:pt idx="6">
                  <c:v>84.552845528455293</c:v>
                </c:pt>
                <c:pt idx="7">
                  <c:v>86.666666666666671</c:v>
                </c:pt>
                <c:pt idx="8">
                  <c:v>87.5</c:v>
                </c:pt>
                <c:pt idx="9">
                  <c:v>88.059701492537314</c:v>
                </c:pt>
                <c:pt idx="10">
                  <c:v>90.28831562974203</c:v>
                </c:pt>
                <c:pt idx="11">
                  <c:v>91.379310344827587</c:v>
                </c:pt>
                <c:pt idx="12">
                  <c:v>91.803278688524586</c:v>
                </c:pt>
                <c:pt idx="13">
                  <c:v>94.230769230769226</c:v>
                </c:pt>
                <c:pt idx="14">
                  <c:v>95.348837209302332</c:v>
                </c:pt>
                <c:pt idx="15">
                  <c:v>96.296296296296291</c:v>
                </c:pt>
                <c:pt idx="16">
                  <c:v>97.183098591549296</c:v>
                </c:pt>
                <c:pt idx="17">
                  <c:v>99.107142857142861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D1-4790-83C4-F5D888C7E5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27118080"/>
        <c:axId val="227154176"/>
      </c:barChart>
      <c:catAx>
        <c:axId val="227118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27154176"/>
        <c:crosses val="autoZero"/>
        <c:auto val="1"/>
        <c:lblAlgn val="ctr"/>
        <c:lblOffset val="100"/>
        <c:noMultiLvlLbl val="0"/>
      </c:catAx>
      <c:valAx>
        <c:axId val="227154176"/>
        <c:scaling>
          <c:orientation val="minMax"/>
        </c:scaling>
        <c:delete val="1"/>
        <c:axPos val="b"/>
        <c:numFmt formatCode="#\ ##0.0" sourceLinked="1"/>
        <c:majorTickMark val="none"/>
        <c:minorTickMark val="none"/>
        <c:tickLblPos val="nextTo"/>
        <c:crossAx val="22711808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'7'!$B$33</c:f>
              <c:strCache>
                <c:ptCount val="1"/>
                <c:pt idx="0">
                  <c:v>Bon na zasiedlenie</c:v>
                </c:pt>
              </c:strCache>
            </c:strRef>
          </c:tx>
          <c:spPr>
            <a:gradFill>
              <a:gsLst>
                <a:gs pos="62000">
                  <a:schemeClr val="accent2">
                    <a:lumMod val="40000"/>
                    <a:lumOff val="60000"/>
                  </a:schemeClr>
                </a:gs>
                <a:gs pos="0">
                  <a:schemeClr val="accent2">
                    <a:lumMod val="60000"/>
                    <a:lumOff val="40000"/>
                  </a:schemeClr>
                </a:gs>
                <a:gs pos="100000">
                  <a:schemeClr val="accent2">
                    <a:lumMod val="20000"/>
                    <a:lumOff val="80000"/>
                  </a:scheme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602-4E9D-B9A9-98ED6F89308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602-4E9D-B9A9-98ED6F89308A}"/>
              </c:ext>
            </c:extLst>
          </c:dPt>
          <c:dPt>
            <c:idx val="6"/>
            <c:invertIfNegative val="0"/>
            <c:bubble3D val="0"/>
            <c:spPr>
              <a:gradFill>
                <a:gsLst>
                  <a:gs pos="62000">
                    <a:schemeClr val="accent2">
                      <a:lumMod val="40000"/>
                      <a:lumOff val="60000"/>
                    </a:schemeClr>
                  </a:gs>
                  <a:gs pos="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20000"/>
                      <a:lumOff val="80000"/>
                    </a:schemeClr>
                  </a:gs>
                </a:gsLst>
              </a:gradFill>
            </c:spPr>
            <c:extLst>
              <c:ext xmlns:c16="http://schemas.microsoft.com/office/drawing/2014/chart" uri="{C3380CC4-5D6E-409C-BE32-E72D297353CC}">
                <c16:uniqueId val="{00000003-0602-4E9D-B9A9-98ED6F89308A}"/>
              </c:ext>
            </c:extLst>
          </c:dPt>
          <c:dPt>
            <c:idx val="7"/>
            <c:invertIfNegative val="0"/>
            <c:bubble3D val="0"/>
            <c:spPr>
              <a:solidFill>
                <a:srgbClr val="66FF33"/>
              </a:solidFill>
            </c:spPr>
            <c:extLst>
              <c:ext xmlns:c16="http://schemas.microsoft.com/office/drawing/2014/chart" uri="{C3380CC4-5D6E-409C-BE32-E72D297353CC}">
                <c16:uniqueId val="{0000000A-96D9-4A6B-AF7E-DD1781221B7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602-4E9D-B9A9-98ED6F89308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602-4E9D-B9A9-98ED6F89308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602-4E9D-B9A9-98ED6F89308A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602-4E9D-B9A9-98ED6F89308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602-4E9D-B9A9-98ED6F8930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'7'!$L$4:$L$25</c:f>
              <c:strCache>
                <c:ptCount val="22"/>
                <c:pt idx="0">
                  <c:v>Jarosław</c:v>
                </c:pt>
                <c:pt idx="1">
                  <c:v>Przeworsk</c:v>
                </c:pt>
                <c:pt idx="2">
                  <c:v>Ropczyce</c:v>
                </c:pt>
                <c:pt idx="3">
                  <c:v>Ustrzyki Dolne</c:v>
                </c:pt>
                <c:pt idx="4">
                  <c:v>Nisko</c:v>
                </c:pt>
                <c:pt idx="5">
                  <c:v>Lubaczów</c:v>
                </c:pt>
                <c:pt idx="6">
                  <c:v>Lesko</c:v>
                </c:pt>
                <c:pt idx="7">
                  <c:v>Podkarpacie</c:v>
                </c:pt>
                <c:pt idx="8">
                  <c:v>Tarnobrzeg</c:v>
                </c:pt>
                <c:pt idx="9">
                  <c:v>Przemyśl</c:v>
                </c:pt>
                <c:pt idx="10">
                  <c:v>Dębica</c:v>
                </c:pt>
                <c:pt idx="11">
                  <c:v>Rzeszów</c:v>
                </c:pt>
                <c:pt idx="12">
                  <c:v>Brzozów</c:v>
                </c:pt>
                <c:pt idx="13">
                  <c:v>Sanok</c:v>
                </c:pt>
                <c:pt idx="14">
                  <c:v>Jasło</c:v>
                </c:pt>
                <c:pt idx="15">
                  <c:v>Stalowa Wola</c:v>
                </c:pt>
                <c:pt idx="16">
                  <c:v>Łańcut</c:v>
                </c:pt>
                <c:pt idx="17">
                  <c:v>Leżajsk</c:v>
                </c:pt>
                <c:pt idx="18">
                  <c:v>Krosno</c:v>
                </c:pt>
                <c:pt idx="19">
                  <c:v>Kolbuszowa</c:v>
                </c:pt>
                <c:pt idx="20">
                  <c:v>Mielec</c:v>
                </c:pt>
                <c:pt idx="21">
                  <c:v>Strzyżów</c:v>
                </c:pt>
              </c:strCache>
            </c:strRef>
          </c:cat>
          <c:val>
            <c:numRef>
              <c:f>'7'!$M$4:$M$25</c:f>
              <c:numCache>
                <c:formatCode>#\ ##0.0</c:formatCode>
                <c:ptCount val="22"/>
                <c:pt idx="0">
                  <c:v>80.701754385964904</c:v>
                </c:pt>
                <c:pt idx="1">
                  <c:v>82.142857142857139</c:v>
                </c:pt>
                <c:pt idx="2">
                  <c:v>85.714285714285708</c:v>
                </c:pt>
                <c:pt idx="3">
                  <c:v>87.179487179487182</c:v>
                </c:pt>
                <c:pt idx="4">
                  <c:v>88.235294117647058</c:v>
                </c:pt>
                <c:pt idx="5">
                  <c:v>89.583333333333343</c:v>
                </c:pt>
                <c:pt idx="6">
                  <c:v>89.743589743589752</c:v>
                </c:pt>
                <c:pt idx="7">
                  <c:v>91.208791208791212</c:v>
                </c:pt>
                <c:pt idx="8">
                  <c:v>91.304347826086953</c:v>
                </c:pt>
                <c:pt idx="9">
                  <c:v>91.304347826086953</c:v>
                </c:pt>
                <c:pt idx="10">
                  <c:v>91.428571428571431</c:v>
                </c:pt>
                <c:pt idx="11">
                  <c:v>91.428571428571431</c:v>
                </c:pt>
                <c:pt idx="12">
                  <c:v>92.10526315789474</c:v>
                </c:pt>
                <c:pt idx="13">
                  <c:v>93.103448275862064</c:v>
                </c:pt>
                <c:pt idx="14">
                  <c:v>93.333333333333329</c:v>
                </c:pt>
                <c:pt idx="15">
                  <c:v>94.444444444444443</c:v>
                </c:pt>
                <c:pt idx="16">
                  <c:v>95.918367346938766</c:v>
                </c:pt>
                <c:pt idx="17">
                  <c:v>97.142857142857139</c:v>
                </c:pt>
                <c:pt idx="18">
                  <c:v>97.5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602-4E9D-B9A9-98ED6F8930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27239040"/>
        <c:axId val="227250560"/>
      </c:barChart>
      <c:catAx>
        <c:axId val="227239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27250560"/>
        <c:crosses val="autoZero"/>
        <c:auto val="1"/>
        <c:lblAlgn val="ctr"/>
        <c:lblOffset val="100"/>
        <c:noMultiLvlLbl val="0"/>
      </c:catAx>
      <c:valAx>
        <c:axId val="227250560"/>
        <c:scaling>
          <c:orientation val="minMax"/>
        </c:scaling>
        <c:delete val="1"/>
        <c:axPos val="b"/>
        <c:numFmt formatCode="#\ ##0.0" sourceLinked="1"/>
        <c:majorTickMark val="none"/>
        <c:minorTickMark val="none"/>
        <c:tickLblPos val="nextTo"/>
        <c:crossAx val="22723904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048692037579222E-2"/>
          <c:y val="3.7095317032739328E-2"/>
          <c:w val="0.90582367379243467"/>
          <c:h val="0.680455035225859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EK!$C$16:$C$18</c:f>
              <c:strCache>
                <c:ptCount val="3"/>
                <c:pt idx="0">
                  <c:v>Efektywność</c:v>
                </c:pt>
                <c:pt idx="1">
                  <c:v>kosztowa</c:v>
                </c:pt>
                <c:pt idx="2">
                  <c:v>(zł)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  <a:alpha val="62000"/>
              </a:schemeClr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A85-468B-AA7B-3D15AED05060}"/>
              </c:ext>
            </c:extLst>
          </c:dPt>
          <c:dPt>
            <c:idx val="2"/>
            <c:invertIfNegative val="0"/>
            <c:bubble3D val="0"/>
            <c:spPr>
              <a:solidFill>
                <a:srgbClr val="99FF66">
                  <a:alpha val="62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6A85-468B-AA7B-3D15AED05060}"/>
              </c:ext>
            </c:extLst>
          </c:dPt>
          <c:dPt>
            <c:idx val="3"/>
            <c:invertIfNegative val="0"/>
            <c:bubble3D val="0"/>
            <c:spPr>
              <a:solidFill>
                <a:srgbClr val="99FF66">
                  <a:alpha val="62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6A85-468B-AA7B-3D15AED0506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A85-468B-AA7B-3D15AED0506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A85-468B-AA7B-3D15AED0506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A85-468B-AA7B-3D15AED0506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A85-468B-AA7B-3D15AED05060}"/>
              </c:ext>
            </c:extLst>
          </c:dPt>
          <c:dLbls>
            <c:dLbl>
              <c:idx val="0"/>
              <c:layout>
                <c:manualLayout>
                  <c:x val="3.290277915620741E-3"/>
                  <c:y val="4.9397251410549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85-468B-AA7B-3D15AED05060}"/>
                </c:ext>
              </c:extLst>
            </c:dLbl>
            <c:dLbl>
              <c:idx val="1"/>
              <c:layout>
                <c:manualLayout>
                  <c:x val="5.2643236321472924E-3"/>
                  <c:y val="5.2174384684731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85-468B-AA7B-3D15AED05060}"/>
                </c:ext>
              </c:extLst>
            </c:dLbl>
            <c:dLbl>
              <c:idx val="2"/>
              <c:layout>
                <c:manualLayout>
                  <c:x val="1.974045716526551E-3"/>
                  <c:y val="4.6753249599304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85-468B-AA7B-3D15AED05060}"/>
                </c:ext>
              </c:extLst>
            </c:dLbl>
            <c:dLbl>
              <c:idx val="3"/>
              <c:layout>
                <c:manualLayout>
                  <c:x val="0"/>
                  <c:y val="4.3558368421874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85-468B-AA7B-3D15AED05060}"/>
                </c:ext>
              </c:extLst>
            </c:dLbl>
            <c:dLbl>
              <c:idx val="4"/>
              <c:layout>
                <c:manualLayout>
                  <c:x val="-1.9038466659081941E-3"/>
                  <c:y val="6.1929140641885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85-468B-AA7B-3D15AED05060}"/>
                </c:ext>
              </c:extLst>
            </c:dLbl>
            <c:dLbl>
              <c:idx val="5"/>
              <c:layout>
                <c:manualLayout>
                  <c:x val="1.3160304776842734E-3"/>
                  <c:y val="5.4971241138608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85-468B-AA7B-3D15AED05060}"/>
                </c:ext>
              </c:extLst>
            </c:dLbl>
            <c:dLbl>
              <c:idx val="6"/>
              <c:layout>
                <c:manualLayout>
                  <c:x val="-9.393385137564708E-17"/>
                  <c:y val="4.5918301658911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85-468B-AA7B-3D15AED05060}"/>
                </c:ext>
              </c:extLst>
            </c:dLbl>
            <c:dLbl>
              <c:idx val="7"/>
              <c:layout>
                <c:manualLayout>
                  <c:x val="2.5618619047503778E-3"/>
                  <c:y val="4.8705296522940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7D-486D-B384-A4BC9F67B4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EK!$B$19:$B$26</c:f>
              <c:strCache>
                <c:ptCount val="8"/>
                <c:pt idx="0">
                  <c:v>refund. koszt.</c:v>
                </c:pt>
                <c:pt idx="1">
                  <c:v>dof. działaln.</c:v>
                </c:pt>
                <c:pt idx="2">
                  <c:v>6 Podst. form - efektywność  kosztowa tj. koszt ponownego zatrud.,  w zł. średni na 1 osobę zatr. po zak. prog.</c:v>
                </c:pt>
                <c:pt idx="3">
                  <c:v>7 Podst. form - efektywność  kosztowa tj. koszt ponownego zatrud.,  w zł. średni na 1 osobę zatr. po zak. prog.</c:v>
                </c:pt>
                <c:pt idx="4">
                  <c:v>roboty publ.</c:v>
                </c:pt>
                <c:pt idx="5">
                  <c:v>staże</c:v>
                </c:pt>
                <c:pt idx="6">
                  <c:v>bon na zas.</c:v>
                </c:pt>
                <c:pt idx="7">
                  <c:v>prace interw.</c:v>
                </c:pt>
              </c:strCache>
            </c:strRef>
          </c:cat>
          <c:val>
            <c:numRef>
              <c:f>EK!$C$19:$C$26</c:f>
              <c:numCache>
                <c:formatCode>#\ ##0.0</c:formatCode>
                <c:ptCount val="8"/>
                <c:pt idx="0">
                  <c:v>53083.715462184882</c:v>
                </c:pt>
                <c:pt idx="1">
                  <c:v>29182.742895805139</c:v>
                </c:pt>
                <c:pt idx="2">
                  <c:v>17604.605179970695</c:v>
                </c:pt>
                <c:pt idx="3">
                  <c:v>17253.479125827813</c:v>
                </c:pt>
                <c:pt idx="4">
                  <c:v>17225.128580246917</c:v>
                </c:pt>
                <c:pt idx="5">
                  <c:v>13014.846298394708</c:v>
                </c:pt>
                <c:pt idx="6">
                  <c:v>11216.649255202628</c:v>
                </c:pt>
                <c:pt idx="7">
                  <c:v>8721.5238630299427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A85-468B-AA7B-3D15AED050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227265536"/>
        <c:axId val="230316288"/>
      </c:barChart>
      <c:catAx>
        <c:axId val="22726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30316288"/>
        <c:crosses val="autoZero"/>
        <c:auto val="1"/>
        <c:lblAlgn val="ctr"/>
        <c:lblOffset val="100"/>
        <c:noMultiLvlLbl val="0"/>
      </c:catAx>
      <c:valAx>
        <c:axId val="230316288"/>
        <c:scaling>
          <c:orientation val="minMax"/>
        </c:scaling>
        <c:delete val="0"/>
        <c:axPos val="l"/>
        <c:majorGridlines>
          <c:spPr>
            <a:ln w="3175">
              <a:solidFill>
                <a:schemeClr val="accent4">
                  <a:lumMod val="75000"/>
                  <a:alpha val="28000"/>
                </a:schemeClr>
              </a:solidFill>
            </a:ln>
          </c:spPr>
        </c:majorGridlines>
        <c:minorGridlines/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480048"/>
            </a:solidFill>
          </a:ln>
        </c:spPr>
        <c:txPr>
          <a:bodyPr/>
          <a:lstStyle/>
          <a:p>
            <a:pPr>
              <a:defRPr sz="7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2726553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I!$B$27</c:f>
              <c:strCache>
                <c:ptCount val="1"/>
                <c:pt idx="0">
                  <c:v>Staże</c:v>
                </c:pt>
              </c:strCache>
            </c:strRef>
          </c:tx>
          <c:spPr>
            <a:gradFill>
              <a:gsLst>
                <a:gs pos="62000">
                  <a:schemeClr val="accent2">
                    <a:lumMod val="40000"/>
                    <a:lumOff val="60000"/>
                  </a:schemeClr>
                </a:gs>
                <a:gs pos="0">
                  <a:schemeClr val="accent2">
                    <a:lumMod val="60000"/>
                    <a:lumOff val="40000"/>
                  </a:schemeClr>
                </a:gs>
                <a:gs pos="100000">
                  <a:schemeClr val="accent2">
                    <a:lumMod val="20000"/>
                    <a:lumOff val="80000"/>
                  </a:scheme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D35-48D6-B24E-32E2E835303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D35-48D6-B24E-32E2E835303A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D35-48D6-B24E-32E2E835303A}"/>
              </c:ext>
            </c:extLst>
          </c:dPt>
          <c:dPt>
            <c:idx val="10"/>
            <c:invertIfNegative val="0"/>
            <c:bubble3D val="0"/>
            <c:spPr>
              <a:solidFill>
                <a:srgbClr val="66FF33"/>
              </a:solidFill>
            </c:spPr>
            <c:extLst>
              <c:ext xmlns:c16="http://schemas.microsoft.com/office/drawing/2014/chart" uri="{C3380CC4-5D6E-409C-BE32-E72D297353CC}">
                <c16:uniqueId val="{00000003-0D35-48D6-B24E-32E2E835303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D35-48D6-B24E-32E2E835303A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D35-48D6-B24E-32E2E835303A}"/>
              </c:ext>
            </c:extLst>
          </c:dPt>
          <c:dPt>
            <c:idx val="13"/>
            <c:invertIfNegative val="0"/>
            <c:bubble3D val="0"/>
            <c:spPr>
              <a:gradFill>
                <a:gsLst>
                  <a:gs pos="62000">
                    <a:schemeClr val="accent2">
                      <a:lumMod val="40000"/>
                      <a:lumOff val="60000"/>
                    </a:schemeClr>
                  </a:gs>
                  <a:gs pos="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20000"/>
                      <a:lumOff val="80000"/>
                    </a:schemeClr>
                  </a:gs>
                </a:gsLst>
              </a:gradFill>
            </c:spPr>
            <c:extLst>
              <c:ext xmlns:c16="http://schemas.microsoft.com/office/drawing/2014/chart" uri="{C3380CC4-5D6E-409C-BE32-E72D297353CC}">
                <c16:uniqueId val="{00000007-0D35-48D6-B24E-32E2E83530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I!$L$4:$L$25</c:f>
              <c:strCache>
                <c:ptCount val="22"/>
                <c:pt idx="0">
                  <c:v>Mielec</c:v>
                </c:pt>
                <c:pt idx="1">
                  <c:v>Kolbuszowa</c:v>
                </c:pt>
                <c:pt idx="2">
                  <c:v>Rzeszów</c:v>
                </c:pt>
                <c:pt idx="3">
                  <c:v>Tarnobrzeg</c:v>
                </c:pt>
                <c:pt idx="4">
                  <c:v>Sanok</c:v>
                </c:pt>
                <c:pt idx="5">
                  <c:v>Krosno</c:v>
                </c:pt>
                <c:pt idx="6">
                  <c:v>Jasło</c:v>
                </c:pt>
                <c:pt idx="7">
                  <c:v>Lubaczów</c:v>
                </c:pt>
                <c:pt idx="8">
                  <c:v>Ropczyce</c:v>
                </c:pt>
                <c:pt idx="9">
                  <c:v>Leżajsk</c:v>
                </c:pt>
                <c:pt idx="10">
                  <c:v>Podkarpacie</c:v>
                </c:pt>
                <c:pt idx="11">
                  <c:v>Stalowa Wola</c:v>
                </c:pt>
                <c:pt idx="12">
                  <c:v>Jarosław</c:v>
                </c:pt>
                <c:pt idx="13">
                  <c:v>Lesko</c:v>
                </c:pt>
                <c:pt idx="14">
                  <c:v>Strzyżów</c:v>
                </c:pt>
                <c:pt idx="15">
                  <c:v>Przemyśl</c:v>
                </c:pt>
                <c:pt idx="16">
                  <c:v>Ustrzyki Dolne</c:v>
                </c:pt>
                <c:pt idx="17">
                  <c:v>Nisko</c:v>
                </c:pt>
                <c:pt idx="18">
                  <c:v>Dębica</c:v>
                </c:pt>
                <c:pt idx="19">
                  <c:v>Łańcut</c:v>
                </c:pt>
                <c:pt idx="20">
                  <c:v>Przeworsk</c:v>
                </c:pt>
                <c:pt idx="21">
                  <c:v>Brzozów</c:v>
                </c:pt>
              </c:strCache>
            </c:strRef>
          </c:cat>
          <c:val>
            <c:numRef>
              <c:f>I!$M$4:$M$25</c:f>
              <c:numCache>
                <c:formatCode>#\ ##0.0</c:formatCode>
                <c:ptCount val="22"/>
                <c:pt idx="0">
                  <c:v>8961.8028623188402</c:v>
                </c:pt>
                <c:pt idx="1">
                  <c:v>11641.389814814815</c:v>
                </c:pt>
                <c:pt idx="2">
                  <c:v>11904.609334389857</c:v>
                </c:pt>
                <c:pt idx="3">
                  <c:v>12141.553074074074</c:v>
                </c:pt>
                <c:pt idx="4">
                  <c:v>12328.4198125</c:v>
                </c:pt>
                <c:pt idx="5">
                  <c:v>12553.818190954773</c:v>
                </c:pt>
                <c:pt idx="6">
                  <c:v>12778.869616613418</c:v>
                </c:pt>
                <c:pt idx="7">
                  <c:v>12888.656102941177</c:v>
                </c:pt>
                <c:pt idx="8">
                  <c:v>12915.99174796748</c:v>
                </c:pt>
                <c:pt idx="9">
                  <c:v>12980.238530701754</c:v>
                </c:pt>
                <c:pt idx="10">
                  <c:v>13014.846298394708</c:v>
                </c:pt>
                <c:pt idx="11">
                  <c:v>13350.010120967741</c:v>
                </c:pt>
                <c:pt idx="12">
                  <c:v>13379.878502994012</c:v>
                </c:pt>
                <c:pt idx="13">
                  <c:v>13395.393404255319</c:v>
                </c:pt>
                <c:pt idx="14">
                  <c:v>13442.706183953034</c:v>
                </c:pt>
                <c:pt idx="15">
                  <c:v>13481.052800000001</c:v>
                </c:pt>
                <c:pt idx="16">
                  <c:v>13681.669927536232</c:v>
                </c:pt>
                <c:pt idx="17">
                  <c:v>14570.84357827476</c:v>
                </c:pt>
                <c:pt idx="18">
                  <c:v>14942.120753768842</c:v>
                </c:pt>
                <c:pt idx="19">
                  <c:v>15085.837870036099</c:v>
                </c:pt>
                <c:pt idx="20">
                  <c:v>15573.837295454547</c:v>
                </c:pt>
                <c:pt idx="21">
                  <c:v>15714.401250000001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35-48D6-B24E-32E2E83530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30373248"/>
        <c:axId val="230401152"/>
      </c:barChart>
      <c:catAx>
        <c:axId val="230373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30401152"/>
        <c:crosses val="autoZero"/>
        <c:auto val="1"/>
        <c:lblAlgn val="ctr"/>
        <c:lblOffset val="100"/>
        <c:noMultiLvlLbl val="0"/>
      </c:catAx>
      <c:valAx>
        <c:axId val="230401152"/>
        <c:scaling>
          <c:orientation val="minMax"/>
        </c:scaling>
        <c:delete val="1"/>
        <c:axPos val="b"/>
        <c:numFmt formatCode="#\ ##0.0" sourceLinked="1"/>
        <c:majorTickMark val="none"/>
        <c:minorTickMark val="none"/>
        <c:tickLblPos val="nextTo"/>
        <c:crossAx val="23037324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II!$B$28</c:f>
              <c:strCache>
                <c:ptCount val="1"/>
                <c:pt idx="0">
                  <c:v>Szkolenia</c:v>
                </c:pt>
              </c:strCache>
            </c:strRef>
          </c:tx>
          <c:spPr>
            <a:gradFill>
              <a:gsLst>
                <a:gs pos="62000">
                  <a:schemeClr val="accent2">
                    <a:lumMod val="40000"/>
                    <a:lumOff val="60000"/>
                  </a:schemeClr>
                </a:gs>
                <a:gs pos="0">
                  <a:schemeClr val="accent2">
                    <a:lumMod val="60000"/>
                    <a:lumOff val="40000"/>
                  </a:schemeClr>
                </a:gs>
                <a:gs pos="100000">
                  <a:schemeClr val="accent2">
                    <a:lumMod val="20000"/>
                    <a:lumOff val="80000"/>
                  </a:scheme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915-4A40-B56E-684F7E111621}"/>
              </c:ext>
            </c:extLst>
          </c:dPt>
          <c:dPt>
            <c:idx val="4"/>
            <c:invertIfNegative val="0"/>
            <c:bubble3D val="0"/>
            <c:spPr>
              <a:solidFill>
                <a:srgbClr val="66FF33"/>
              </a:solidFill>
            </c:spPr>
            <c:extLst>
              <c:ext xmlns:c16="http://schemas.microsoft.com/office/drawing/2014/chart" uri="{C3380CC4-5D6E-409C-BE32-E72D297353CC}">
                <c16:uniqueId val="{00000009-32C4-4CAF-B992-CCAB25372311}"/>
              </c:ext>
            </c:extLst>
          </c:dPt>
          <c:dPt>
            <c:idx val="5"/>
            <c:invertIfNegative val="0"/>
            <c:bubble3D val="0"/>
            <c:spPr>
              <a:gradFill>
                <a:gsLst>
                  <a:gs pos="62000">
                    <a:schemeClr val="accent2">
                      <a:lumMod val="40000"/>
                      <a:lumOff val="60000"/>
                    </a:schemeClr>
                  </a:gs>
                  <a:gs pos="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20000"/>
                      <a:lumOff val="80000"/>
                    </a:schemeClr>
                  </a:gs>
                </a:gsLst>
              </a:gradFill>
            </c:spPr>
            <c:extLst>
              <c:ext xmlns:c16="http://schemas.microsoft.com/office/drawing/2014/chart" uri="{C3380CC4-5D6E-409C-BE32-E72D297353CC}">
                <c16:uniqueId val="{00000002-B915-4A40-B56E-684F7E11162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915-4A40-B56E-684F7E11162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915-4A40-B56E-684F7E11162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915-4A40-B56E-684F7E11162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915-4A40-B56E-684F7E11162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915-4A40-B56E-684F7E1116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II!$L$4:$L$25</c:f>
              <c:strCache>
                <c:ptCount val="22"/>
                <c:pt idx="0">
                  <c:v>Rzeszów</c:v>
                </c:pt>
                <c:pt idx="1">
                  <c:v>Stalowa Wola</c:v>
                </c:pt>
                <c:pt idx="2">
                  <c:v>Mielec</c:v>
                </c:pt>
                <c:pt idx="3">
                  <c:v>Lesko</c:v>
                </c:pt>
                <c:pt idx="4">
                  <c:v>Podkarpacie</c:v>
                </c:pt>
                <c:pt idx="5">
                  <c:v>Ropczyce</c:v>
                </c:pt>
                <c:pt idx="6">
                  <c:v>Przeworsk</c:v>
                </c:pt>
                <c:pt idx="7">
                  <c:v>Sanok</c:v>
                </c:pt>
                <c:pt idx="8">
                  <c:v>Brzozów</c:v>
                </c:pt>
                <c:pt idx="9">
                  <c:v>Krosno</c:v>
                </c:pt>
                <c:pt idx="10">
                  <c:v>Przemyśl</c:v>
                </c:pt>
                <c:pt idx="11">
                  <c:v>Kolbuszowa</c:v>
                </c:pt>
                <c:pt idx="12">
                  <c:v>Dębica</c:v>
                </c:pt>
                <c:pt idx="13">
                  <c:v>Jarosław</c:v>
                </c:pt>
                <c:pt idx="14">
                  <c:v>Lubaczów</c:v>
                </c:pt>
                <c:pt idx="15">
                  <c:v>Strzyżów</c:v>
                </c:pt>
                <c:pt idx="16">
                  <c:v>Jasło</c:v>
                </c:pt>
                <c:pt idx="17">
                  <c:v>Leżajsk</c:v>
                </c:pt>
                <c:pt idx="18">
                  <c:v>Ustrzyki Dolne</c:v>
                </c:pt>
                <c:pt idx="19">
                  <c:v>Łańcut</c:v>
                </c:pt>
                <c:pt idx="20">
                  <c:v>Tarnobrzeg</c:v>
                </c:pt>
                <c:pt idx="21">
                  <c:v>Nisko</c:v>
                </c:pt>
              </c:strCache>
            </c:strRef>
          </c:cat>
          <c:val>
            <c:numRef>
              <c:f>II!$M$4:$M$25</c:f>
              <c:numCache>
                <c:formatCode>#\ ##0.0</c:formatCode>
                <c:ptCount val="22"/>
                <c:pt idx="0">
                  <c:v>2739.4103448275864</c:v>
                </c:pt>
                <c:pt idx="1">
                  <c:v>3372.0714150943395</c:v>
                </c:pt>
                <c:pt idx="2">
                  <c:v>4585.1477777777782</c:v>
                </c:pt>
                <c:pt idx="3">
                  <c:v>5553.9644444444448</c:v>
                </c:pt>
                <c:pt idx="4">
                  <c:v>7250.3362483994879</c:v>
                </c:pt>
                <c:pt idx="5">
                  <c:v>8160.9958823529405</c:v>
                </c:pt>
                <c:pt idx="6">
                  <c:v>8368.0500000000011</c:v>
                </c:pt>
                <c:pt idx="7">
                  <c:v>8388.8655223880596</c:v>
                </c:pt>
                <c:pt idx="8">
                  <c:v>8595.8549999999996</c:v>
                </c:pt>
                <c:pt idx="9">
                  <c:v>8620.3804166666669</c:v>
                </c:pt>
                <c:pt idx="10">
                  <c:v>8729.228000000001</c:v>
                </c:pt>
                <c:pt idx="11">
                  <c:v>9158.8448275862065</c:v>
                </c:pt>
                <c:pt idx="12">
                  <c:v>10251.5</c:v>
                </c:pt>
                <c:pt idx="13">
                  <c:v>10438.48</c:v>
                </c:pt>
                <c:pt idx="14">
                  <c:v>10973.99</c:v>
                </c:pt>
                <c:pt idx="15">
                  <c:v>10985.015333333335</c:v>
                </c:pt>
                <c:pt idx="16">
                  <c:v>11194.186874999999</c:v>
                </c:pt>
                <c:pt idx="17">
                  <c:v>11343.624054054055</c:v>
                </c:pt>
                <c:pt idx="18">
                  <c:v>11344.465</c:v>
                </c:pt>
                <c:pt idx="19">
                  <c:v>12609.18</c:v>
                </c:pt>
                <c:pt idx="20">
                  <c:v>12682.744615384614</c:v>
                </c:pt>
                <c:pt idx="21">
                  <c:v>15438.321538461538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15-4A40-B56E-684F7E1116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38121344"/>
        <c:axId val="238124416"/>
      </c:barChart>
      <c:catAx>
        <c:axId val="238121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38124416"/>
        <c:crosses val="autoZero"/>
        <c:auto val="1"/>
        <c:lblAlgn val="ctr"/>
        <c:lblOffset val="100"/>
        <c:noMultiLvlLbl val="0"/>
      </c:catAx>
      <c:valAx>
        <c:axId val="238124416"/>
        <c:scaling>
          <c:orientation val="minMax"/>
        </c:scaling>
        <c:delete val="1"/>
        <c:axPos val="b"/>
        <c:numFmt formatCode="#\ ##0.0" sourceLinked="1"/>
        <c:majorTickMark val="none"/>
        <c:minorTickMark val="none"/>
        <c:tickLblPos val="nextTo"/>
        <c:crossAx val="23812134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III!$B$29</c:f>
              <c:strCache>
                <c:ptCount val="1"/>
                <c:pt idx="0">
                  <c:v>Prace interwencyjne</c:v>
                </c:pt>
              </c:strCache>
            </c:strRef>
          </c:tx>
          <c:spPr>
            <a:gradFill>
              <a:gsLst>
                <a:gs pos="62000">
                  <a:schemeClr val="accent2">
                    <a:lumMod val="40000"/>
                    <a:lumOff val="60000"/>
                  </a:schemeClr>
                </a:gs>
                <a:gs pos="0">
                  <a:schemeClr val="accent2">
                    <a:lumMod val="60000"/>
                    <a:lumOff val="40000"/>
                  </a:schemeClr>
                </a:gs>
                <a:gs pos="100000">
                  <a:schemeClr val="accent2">
                    <a:lumMod val="20000"/>
                    <a:lumOff val="80000"/>
                  </a:scheme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D97-4DC4-9BC6-8BFDC6536E6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D97-4DC4-9BC6-8BFDC6536E6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D97-4DC4-9BC6-8BFDC6536E6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D97-4DC4-9BC6-8BFDC6536E6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D97-4DC4-9BC6-8BFDC6536E6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D97-4DC4-9BC6-8BFDC6536E62}"/>
              </c:ext>
            </c:extLst>
          </c:dPt>
          <c:dPt>
            <c:idx val="11"/>
            <c:invertIfNegative val="0"/>
            <c:bubble3D val="0"/>
            <c:spPr>
              <a:solidFill>
                <a:srgbClr val="66FF33"/>
              </a:solidFill>
            </c:spPr>
            <c:extLst>
              <c:ext xmlns:c16="http://schemas.microsoft.com/office/drawing/2014/chart" uri="{C3380CC4-5D6E-409C-BE32-E72D297353CC}">
                <c16:uniqueId val="{00000007-3D97-4DC4-9BC6-8BFDC6536E6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D97-4DC4-9BC6-8BFDC6536E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III!$L$4:$L$25</c:f>
              <c:strCache>
                <c:ptCount val="22"/>
                <c:pt idx="0">
                  <c:v>Kolbuszowa</c:v>
                </c:pt>
                <c:pt idx="1">
                  <c:v>Lesko</c:v>
                </c:pt>
                <c:pt idx="2">
                  <c:v>Brzozów</c:v>
                </c:pt>
                <c:pt idx="3">
                  <c:v>Krosno</c:v>
                </c:pt>
                <c:pt idx="4">
                  <c:v>Ustrzyki Dolne</c:v>
                </c:pt>
                <c:pt idx="5">
                  <c:v>Sanok</c:v>
                </c:pt>
                <c:pt idx="6">
                  <c:v>Mielec</c:v>
                </c:pt>
                <c:pt idx="7">
                  <c:v>Strzyżów</c:v>
                </c:pt>
                <c:pt idx="8">
                  <c:v>Dębica</c:v>
                </c:pt>
                <c:pt idx="9">
                  <c:v>Nisko</c:v>
                </c:pt>
                <c:pt idx="10">
                  <c:v>Łańcut</c:v>
                </c:pt>
                <c:pt idx="11">
                  <c:v>Podkarpacie</c:v>
                </c:pt>
                <c:pt idx="12">
                  <c:v>Tarnobrzeg</c:v>
                </c:pt>
                <c:pt idx="13">
                  <c:v>Lubaczów</c:v>
                </c:pt>
                <c:pt idx="14">
                  <c:v>Leżajsk</c:v>
                </c:pt>
                <c:pt idx="15">
                  <c:v>Stalowa Wola</c:v>
                </c:pt>
                <c:pt idx="16">
                  <c:v>Przeworsk</c:v>
                </c:pt>
                <c:pt idx="17">
                  <c:v>Jasło</c:v>
                </c:pt>
                <c:pt idx="18">
                  <c:v>Jarosław</c:v>
                </c:pt>
                <c:pt idx="19">
                  <c:v>Rzeszów</c:v>
                </c:pt>
                <c:pt idx="20">
                  <c:v>Ropczyce</c:v>
                </c:pt>
                <c:pt idx="21">
                  <c:v>Przemyśl</c:v>
                </c:pt>
              </c:strCache>
            </c:strRef>
          </c:cat>
          <c:val>
            <c:numRef>
              <c:f>III!$M$4:$M$25</c:f>
              <c:numCache>
                <c:formatCode>#\ ##0.0</c:formatCode>
                <c:ptCount val="22"/>
                <c:pt idx="0">
                  <c:v>5263.067345132743</c:v>
                </c:pt>
                <c:pt idx="1">
                  <c:v>5895.8222857142855</c:v>
                </c:pt>
                <c:pt idx="2">
                  <c:v>6066.8047530864196</c:v>
                </c:pt>
                <c:pt idx="3">
                  <c:v>6423.7599999999993</c:v>
                </c:pt>
                <c:pt idx="4">
                  <c:v>6614.1498000000001</c:v>
                </c:pt>
                <c:pt idx="5">
                  <c:v>7298.9246111111106</c:v>
                </c:pt>
                <c:pt idx="6">
                  <c:v>7577.0269194312796</c:v>
                </c:pt>
                <c:pt idx="7">
                  <c:v>7578.7800000000007</c:v>
                </c:pt>
                <c:pt idx="8">
                  <c:v>7773.3001265822777</c:v>
                </c:pt>
                <c:pt idx="9">
                  <c:v>8099.6970550161814</c:v>
                </c:pt>
                <c:pt idx="10">
                  <c:v>8129.4257516339867</c:v>
                </c:pt>
                <c:pt idx="11">
                  <c:v>8721.5238630299427</c:v>
                </c:pt>
                <c:pt idx="12">
                  <c:v>8848.4821249999986</c:v>
                </c:pt>
                <c:pt idx="13">
                  <c:v>9369.1174193548377</c:v>
                </c:pt>
                <c:pt idx="14">
                  <c:v>9549.6243902439019</c:v>
                </c:pt>
                <c:pt idx="15">
                  <c:v>9714.0203846153836</c:v>
                </c:pt>
                <c:pt idx="16">
                  <c:v>9730.7848496240604</c:v>
                </c:pt>
                <c:pt idx="17">
                  <c:v>9807.594794520548</c:v>
                </c:pt>
                <c:pt idx="18">
                  <c:v>9845.926007604563</c:v>
                </c:pt>
                <c:pt idx="19">
                  <c:v>10371.263699633701</c:v>
                </c:pt>
                <c:pt idx="20">
                  <c:v>10445.929351851853</c:v>
                </c:pt>
                <c:pt idx="21">
                  <c:v>11767.826356275304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D97-4DC4-9BC6-8BFDC6536E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27428992"/>
        <c:axId val="227452800"/>
      </c:barChart>
      <c:catAx>
        <c:axId val="22742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27452800"/>
        <c:crosses val="autoZero"/>
        <c:auto val="1"/>
        <c:lblAlgn val="ctr"/>
        <c:lblOffset val="100"/>
        <c:noMultiLvlLbl val="0"/>
      </c:catAx>
      <c:valAx>
        <c:axId val="227452800"/>
        <c:scaling>
          <c:orientation val="minMax"/>
        </c:scaling>
        <c:delete val="1"/>
        <c:axPos val="b"/>
        <c:numFmt formatCode="#\ ##0.0" sourceLinked="1"/>
        <c:majorTickMark val="none"/>
        <c:minorTickMark val="none"/>
        <c:tickLblPos val="nextTo"/>
        <c:crossAx val="22742899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IV!$B$30</c:f>
              <c:strCache>
                <c:ptCount val="1"/>
                <c:pt idx="0">
                  <c:v>Roboty publiczne</c:v>
                </c:pt>
              </c:strCache>
            </c:strRef>
          </c:tx>
          <c:spPr>
            <a:gradFill>
              <a:gsLst>
                <a:gs pos="62000">
                  <a:schemeClr val="accent2">
                    <a:lumMod val="40000"/>
                    <a:lumOff val="60000"/>
                  </a:schemeClr>
                </a:gs>
                <a:gs pos="0">
                  <a:schemeClr val="accent2">
                    <a:lumMod val="60000"/>
                    <a:lumOff val="40000"/>
                  </a:schemeClr>
                </a:gs>
                <a:gs pos="100000">
                  <a:schemeClr val="accent2">
                    <a:lumMod val="20000"/>
                    <a:lumOff val="80000"/>
                  </a:scheme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0F3-41F9-854D-6E97916FE97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0F3-41F9-854D-6E97916FE97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0F3-41F9-854D-6E97916FE97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0F3-41F9-854D-6E97916FE97E}"/>
              </c:ext>
            </c:extLst>
          </c:dPt>
          <c:dPt>
            <c:idx val="9"/>
            <c:invertIfNegative val="0"/>
            <c:bubble3D val="0"/>
            <c:spPr>
              <a:solidFill>
                <a:srgbClr val="66FF33"/>
              </a:solidFill>
            </c:spPr>
            <c:extLst>
              <c:ext xmlns:c16="http://schemas.microsoft.com/office/drawing/2014/chart" uri="{C3380CC4-5D6E-409C-BE32-E72D297353CC}">
                <c16:uniqueId val="{00000009-1A42-4A63-BA04-0864791DC47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0F3-41F9-854D-6E97916FE97E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62000">
                    <a:schemeClr val="accent2">
                      <a:lumMod val="40000"/>
                      <a:lumOff val="60000"/>
                    </a:schemeClr>
                  </a:gs>
                  <a:gs pos="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20000"/>
                      <a:lumOff val="80000"/>
                    </a:schemeClr>
                  </a:gs>
                </a:gsLst>
              </a:gradFill>
            </c:spPr>
            <c:extLst>
              <c:ext xmlns:c16="http://schemas.microsoft.com/office/drawing/2014/chart" uri="{C3380CC4-5D6E-409C-BE32-E72D297353CC}">
                <c16:uniqueId val="{00000006-30F3-41F9-854D-6E97916FE97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0F3-41F9-854D-6E97916FE9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IV!$L$4:$L$25</c:f>
              <c:strCache>
                <c:ptCount val="22"/>
                <c:pt idx="0">
                  <c:v>Krosno</c:v>
                </c:pt>
                <c:pt idx="1">
                  <c:v>Sanok</c:v>
                </c:pt>
                <c:pt idx="2">
                  <c:v>Mielec</c:v>
                </c:pt>
                <c:pt idx="3">
                  <c:v>Leżajsk</c:v>
                </c:pt>
                <c:pt idx="4">
                  <c:v>Jasło</c:v>
                </c:pt>
                <c:pt idx="5">
                  <c:v>Tarnobrzeg</c:v>
                </c:pt>
                <c:pt idx="6">
                  <c:v>Lubaczów</c:v>
                </c:pt>
                <c:pt idx="7">
                  <c:v>Przemyśl</c:v>
                </c:pt>
                <c:pt idx="8">
                  <c:v>Strzyżów</c:v>
                </c:pt>
                <c:pt idx="9">
                  <c:v>Podkarpacie</c:v>
                </c:pt>
                <c:pt idx="10">
                  <c:v>Łańcut</c:v>
                </c:pt>
                <c:pt idx="11">
                  <c:v>Dębica</c:v>
                </c:pt>
                <c:pt idx="12">
                  <c:v>Stalowa Wola</c:v>
                </c:pt>
                <c:pt idx="13">
                  <c:v>Jarosław</c:v>
                </c:pt>
                <c:pt idx="14">
                  <c:v>Kolbuszowa</c:v>
                </c:pt>
                <c:pt idx="15">
                  <c:v>Brzozów</c:v>
                </c:pt>
                <c:pt idx="16">
                  <c:v>Ustrzyki Dolne</c:v>
                </c:pt>
                <c:pt idx="17">
                  <c:v>Ropczyce</c:v>
                </c:pt>
                <c:pt idx="18">
                  <c:v>Rzeszów</c:v>
                </c:pt>
                <c:pt idx="19">
                  <c:v>Lesko</c:v>
                </c:pt>
                <c:pt idx="20">
                  <c:v>Nisko</c:v>
                </c:pt>
                <c:pt idx="21">
                  <c:v>Przeworsk</c:v>
                </c:pt>
              </c:strCache>
            </c:strRef>
          </c:cat>
          <c:val>
            <c:numRef>
              <c:f>IV!$M$4:$M$25</c:f>
              <c:numCache>
                <c:formatCode>#\ ##0.0</c:formatCode>
                <c:ptCount val="22"/>
                <c:pt idx="0">
                  <c:v>7991.192222222222</c:v>
                </c:pt>
                <c:pt idx="1">
                  <c:v>10000.877894736841</c:v>
                </c:pt>
                <c:pt idx="2">
                  <c:v>11377.817031250001</c:v>
                </c:pt>
                <c:pt idx="3">
                  <c:v>13031.564930555556</c:v>
                </c:pt>
                <c:pt idx="4">
                  <c:v>14134.019583333335</c:v>
                </c:pt>
                <c:pt idx="5">
                  <c:v>15637.929335793357</c:v>
                </c:pt>
                <c:pt idx="6">
                  <c:v>16346.299629629631</c:v>
                </c:pt>
                <c:pt idx="7">
                  <c:v>16358.021860465115</c:v>
                </c:pt>
                <c:pt idx="8">
                  <c:v>16393.417863247862</c:v>
                </c:pt>
                <c:pt idx="9">
                  <c:v>17225.128580246917</c:v>
                </c:pt>
                <c:pt idx="10">
                  <c:v>17523.310650406504</c:v>
                </c:pt>
                <c:pt idx="11">
                  <c:v>17579.073333333334</c:v>
                </c:pt>
                <c:pt idx="12">
                  <c:v>17629.1836</c:v>
                </c:pt>
                <c:pt idx="13">
                  <c:v>18301.619774436091</c:v>
                </c:pt>
                <c:pt idx="14">
                  <c:v>18504.820666666667</c:v>
                </c:pt>
                <c:pt idx="15">
                  <c:v>19397.623559322034</c:v>
                </c:pt>
                <c:pt idx="16">
                  <c:v>19526.167142857146</c:v>
                </c:pt>
                <c:pt idx="17">
                  <c:v>20292.108787878788</c:v>
                </c:pt>
                <c:pt idx="18">
                  <c:v>21381.615312500002</c:v>
                </c:pt>
                <c:pt idx="19">
                  <c:v>21436.601666666669</c:v>
                </c:pt>
                <c:pt idx="20">
                  <c:v>21828.017884615383</c:v>
                </c:pt>
                <c:pt idx="21">
                  <c:v>22787.972302158272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F3-41F9-854D-6E97916FE9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38175360"/>
        <c:axId val="238186880"/>
      </c:barChart>
      <c:catAx>
        <c:axId val="238175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38186880"/>
        <c:crosses val="autoZero"/>
        <c:auto val="1"/>
        <c:lblAlgn val="ctr"/>
        <c:lblOffset val="100"/>
        <c:noMultiLvlLbl val="0"/>
      </c:catAx>
      <c:valAx>
        <c:axId val="238186880"/>
        <c:scaling>
          <c:orientation val="minMax"/>
        </c:scaling>
        <c:delete val="1"/>
        <c:axPos val="b"/>
        <c:numFmt formatCode="#\ ##0.0" sourceLinked="1"/>
        <c:majorTickMark val="none"/>
        <c:minorTickMark val="none"/>
        <c:tickLblPos val="nextTo"/>
        <c:crossAx val="23817536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668160701254533"/>
          <c:y val="2.5747673316920901E-2"/>
        </c:manualLayout>
      </c:layout>
      <c:overlay val="0"/>
      <c:txPr>
        <a:bodyPr/>
        <a:lstStyle/>
        <a:p>
          <a:pPr>
            <a:defRPr sz="11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title>
    <c:autoTitleDeleted val="0"/>
    <c:view3D>
      <c:rotX val="15"/>
      <c:rotY val="20"/>
      <c:rAngAx val="0"/>
      <c:perspective val="20"/>
    </c:view3D>
    <c:floor>
      <c:thickness val="0"/>
      <c:spPr>
        <a:solidFill>
          <a:srgbClr val="F9F9F9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8262702731621133E-2"/>
          <c:y val="5.2667578475829681E-2"/>
          <c:w val="0.91392778420552756"/>
          <c:h val="0.8339809647091213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'15-21'!$C$13</c:f>
              <c:strCache>
                <c:ptCount val="1"/>
                <c:pt idx="0">
                  <c:v>Efektywność kosztowa (w proc.)</c:v>
                </c:pt>
              </c:strCache>
            </c:strRef>
          </c:tx>
          <c:spPr>
            <a:gradFill flip="none" rotWithShape="1">
              <a:gsLst>
                <a:gs pos="0">
                  <a:srgbClr val="FF9900"/>
                </a:gs>
                <a:gs pos="83000">
                  <a:srgbClr val="FFC000"/>
                </a:gs>
                <a:gs pos="12000">
                  <a:srgbClr val="FF9900"/>
                </a:gs>
                <a:gs pos="99000">
                  <a:srgbClr val="FF9900"/>
                </a:gs>
              </a:gsLst>
              <a:lin ang="540000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Pt>
            <c:idx val="2"/>
            <c:invertIfNegative val="0"/>
            <c:bubble3D val="0"/>
            <c:spPr>
              <a:solidFill>
                <a:srgbClr val="99FFCC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476-4558-9424-5A89B2AE9E72}"/>
              </c:ext>
            </c:extLst>
          </c:dPt>
          <c:dPt>
            <c:idx val="3"/>
            <c:invertIfNegative val="0"/>
            <c:bubble3D val="0"/>
            <c:spPr>
              <a:solidFill>
                <a:srgbClr val="99FFCC"/>
              </a:solidFill>
              <a:ln w="79375"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476-4558-9424-5A89B2AE9E72}"/>
              </c:ext>
            </c:extLst>
          </c:dPt>
          <c:dLbls>
            <c:dLbl>
              <c:idx val="0"/>
              <c:layout>
                <c:manualLayout>
                  <c:x val="1.853997276521796E-2"/>
                  <c:y val="-1.0300426399803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76-4558-9424-5A89B2AE9E72}"/>
                </c:ext>
              </c:extLst>
            </c:dLbl>
            <c:dLbl>
              <c:idx val="1"/>
              <c:layout>
                <c:manualLayout>
                  <c:x val="2.0934110980568941E-2"/>
                  <c:y val="-2.4034328266208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76-4558-9424-5A89B2AE9E72}"/>
                </c:ext>
              </c:extLst>
            </c:dLbl>
            <c:dLbl>
              <c:idx val="2"/>
              <c:layout>
                <c:manualLayout>
                  <c:x val="2.2247967318261553E-2"/>
                  <c:y val="-2.4034328266208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76-4558-9424-5A89B2AE9E72}"/>
                </c:ext>
              </c:extLst>
            </c:dLbl>
            <c:dLbl>
              <c:idx val="3"/>
              <c:layout>
                <c:manualLayout>
                  <c:x val="2.2248027548105186E-2"/>
                  <c:y val="-1.0781043483744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76-4558-9424-5A89B2AE9E72}"/>
                </c:ext>
              </c:extLst>
            </c:dLbl>
            <c:dLbl>
              <c:idx val="4"/>
              <c:layout>
                <c:manualLayout>
                  <c:x val="2.2247967318261553E-2"/>
                  <c:y val="-6.8669509332024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76-4558-9424-5A89B2AE9E72}"/>
                </c:ext>
              </c:extLst>
            </c:dLbl>
            <c:dLbl>
              <c:idx val="5"/>
              <c:layout>
                <c:manualLayout>
                  <c:x val="1.5958974981839586E-2"/>
                  <c:y val="-2.7467803732809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76-4558-9424-5A89B2AE9E72}"/>
                </c:ext>
              </c:extLst>
            </c:dLbl>
            <c:dLbl>
              <c:idx val="6"/>
              <c:layout>
                <c:manualLayout>
                  <c:x val="1.4831978212174367E-2"/>
                  <c:y val="-1.0300426399803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76-4558-9424-5A89B2AE9E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'15-21'!$B$14:$B$22</c:f>
              <c:strCache>
                <c:ptCount val="9"/>
                <c:pt idx="0">
                  <c:v>Refundacja kosztów wyposażenia lub doposażenia miejsca pracy</c:v>
                </c:pt>
                <c:pt idx="1">
                  <c:v>Dofinansowanie działalności gospodarczej</c:v>
                </c:pt>
                <c:pt idx="2">
                  <c:v>Razem 6 form (do por.)</c:v>
                </c:pt>
                <c:pt idx="3">
                  <c:v>Razem 7 podstawowych form</c:v>
                </c:pt>
                <c:pt idx="4">
                  <c:v>Roboty publiczne</c:v>
                </c:pt>
                <c:pt idx="5">
                  <c:v>Staże</c:v>
                </c:pt>
                <c:pt idx="6">
                  <c:v>Bon na zasiedlenie</c:v>
                </c:pt>
                <c:pt idx="7">
                  <c:v>Prace interwencyjne</c:v>
                </c:pt>
                <c:pt idx="8">
                  <c:v>Szkolenia</c:v>
                </c:pt>
              </c:strCache>
            </c:strRef>
          </c:cat>
          <c:val>
            <c:numRef>
              <c:f>'15-21'!$C$14:$C$22</c:f>
              <c:numCache>
                <c:formatCode>#\ ##0.0</c:formatCode>
                <c:ptCount val="9"/>
                <c:pt idx="0">
                  <c:v>53083.715462184882</c:v>
                </c:pt>
                <c:pt idx="1">
                  <c:v>29182.742895805139</c:v>
                </c:pt>
                <c:pt idx="2">
                  <c:v>17604.605179970695</c:v>
                </c:pt>
                <c:pt idx="3">
                  <c:v>17253.479125827813</c:v>
                </c:pt>
                <c:pt idx="4">
                  <c:v>17225.128580246914</c:v>
                </c:pt>
                <c:pt idx="5">
                  <c:v>13014.846298394712</c:v>
                </c:pt>
                <c:pt idx="6">
                  <c:v>11216.649255202628</c:v>
                </c:pt>
                <c:pt idx="7">
                  <c:v>8721.5238630299427</c:v>
                </c:pt>
                <c:pt idx="8">
                  <c:v>7250.3362483994897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9-6476-4558-9424-5A89B2AE9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09302272"/>
        <c:axId val="209303808"/>
        <c:axId val="0"/>
      </c:bar3DChart>
      <c:catAx>
        <c:axId val="20930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09303808"/>
        <c:crosses val="autoZero"/>
        <c:auto val="0"/>
        <c:lblAlgn val="ctr"/>
        <c:lblOffset val="100"/>
        <c:noMultiLvlLbl val="0"/>
      </c:catAx>
      <c:valAx>
        <c:axId val="209303808"/>
        <c:scaling>
          <c:orientation val="minMax"/>
          <c:max val="35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accent6">
                  <a:lumMod val="40000"/>
                  <a:lumOff val="60000"/>
                </a:scheme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09302272"/>
        <c:crosses val="autoZero"/>
        <c:crossBetween val="between"/>
        <c:majorUnit val="5000"/>
        <c:minorUnit val="900"/>
      </c:valAx>
    </c:plotArea>
    <c:legend>
      <c:legendPos val="r"/>
      <c:layout>
        <c:manualLayout>
          <c:xMode val="edge"/>
          <c:yMode val="edge"/>
          <c:x val="0.4821484864582436"/>
          <c:y val="0.10656822328660444"/>
          <c:w val="0.45257026479245388"/>
          <c:h val="0.28076203075781453"/>
        </c:manualLayout>
      </c:layout>
      <c:overlay val="0"/>
      <c:txPr>
        <a:bodyPr/>
        <a:lstStyle/>
        <a:p>
          <a:pPr>
            <a:defRPr sz="7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V!$B$31</c:f>
              <c:strCache>
                <c:ptCount val="1"/>
                <c:pt idx="0">
                  <c:v>Dofinansowanie podejmowania działalności gospodarczej</c:v>
                </c:pt>
              </c:strCache>
            </c:strRef>
          </c:tx>
          <c:spPr>
            <a:gradFill>
              <a:gsLst>
                <a:gs pos="62000">
                  <a:schemeClr val="accent2">
                    <a:lumMod val="40000"/>
                    <a:lumOff val="60000"/>
                  </a:schemeClr>
                </a:gs>
                <a:gs pos="0">
                  <a:schemeClr val="accent2">
                    <a:lumMod val="60000"/>
                    <a:lumOff val="40000"/>
                  </a:schemeClr>
                </a:gs>
                <a:gs pos="100000">
                  <a:schemeClr val="accent2">
                    <a:lumMod val="20000"/>
                    <a:lumOff val="80000"/>
                  </a:scheme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7AA-4EFC-8561-1AF2C6B1375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7AA-4EFC-8561-1AF2C6B1375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7AA-4EFC-8561-1AF2C6B13753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7AA-4EFC-8561-1AF2C6B13753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62000">
                    <a:schemeClr val="accent2">
                      <a:lumMod val="40000"/>
                      <a:lumOff val="60000"/>
                    </a:schemeClr>
                  </a:gs>
                  <a:gs pos="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20000"/>
                      <a:lumOff val="80000"/>
                    </a:schemeClr>
                  </a:gs>
                </a:gsLst>
              </a:gradFill>
            </c:spPr>
            <c:extLst>
              <c:ext xmlns:c16="http://schemas.microsoft.com/office/drawing/2014/chart" uri="{C3380CC4-5D6E-409C-BE32-E72D297353CC}">
                <c16:uniqueId val="{00000005-57AA-4EFC-8561-1AF2C6B1375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7AA-4EFC-8561-1AF2C6B13753}"/>
              </c:ext>
            </c:extLst>
          </c:dPt>
          <c:dPt>
            <c:idx val="12"/>
            <c:invertIfNegative val="0"/>
            <c:bubble3D val="0"/>
            <c:spPr>
              <a:solidFill>
                <a:srgbClr val="66FF33"/>
              </a:solidFill>
            </c:spPr>
            <c:extLst>
              <c:ext xmlns:c16="http://schemas.microsoft.com/office/drawing/2014/chart" uri="{C3380CC4-5D6E-409C-BE32-E72D297353CC}">
                <c16:uniqueId val="{00000008-E817-4859-A886-968A825ED4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V!$L$4:$L$25</c:f>
              <c:strCache>
                <c:ptCount val="22"/>
                <c:pt idx="0">
                  <c:v>Tarnobrzeg</c:v>
                </c:pt>
                <c:pt idx="1">
                  <c:v>Mielec</c:v>
                </c:pt>
                <c:pt idx="2">
                  <c:v>Stalowa Wola</c:v>
                </c:pt>
                <c:pt idx="3">
                  <c:v>Przemyśl</c:v>
                </c:pt>
                <c:pt idx="4">
                  <c:v>Krosno</c:v>
                </c:pt>
                <c:pt idx="5">
                  <c:v>Dębica</c:v>
                </c:pt>
                <c:pt idx="6">
                  <c:v>Jasło</c:v>
                </c:pt>
                <c:pt idx="7">
                  <c:v>Sanok</c:v>
                </c:pt>
                <c:pt idx="8">
                  <c:v>Nisko</c:v>
                </c:pt>
                <c:pt idx="9">
                  <c:v>Lubaczów</c:v>
                </c:pt>
                <c:pt idx="10">
                  <c:v>Leżajsk</c:v>
                </c:pt>
                <c:pt idx="11">
                  <c:v>Ropczyce</c:v>
                </c:pt>
                <c:pt idx="12">
                  <c:v>Podkarpacie</c:v>
                </c:pt>
                <c:pt idx="13">
                  <c:v>Kolbuszowa</c:v>
                </c:pt>
                <c:pt idx="14">
                  <c:v>Ustrzyki Dolne</c:v>
                </c:pt>
                <c:pt idx="15">
                  <c:v>Łańcut</c:v>
                </c:pt>
                <c:pt idx="16">
                  <c:v>Brzozów</c:v>
                </c:pt>
                <c:pt idx="17">
                  <c:v>Jarosław</c:v>
                </c:pt>
                <c:pt idx="18">
                  <c:v>Przeworsk</c:v>
                </c:pt>
                <c:pt idx="19">
                  <c:v>Strzyżów</c:v>
                </c:pt>
                <c:pt idx="20">
                  <c:v>Lesko</c:v>
                </c:pt>
                <c:pt idx="21">
                  <c:v>Rzeszów</c:v>
                </c:pt>
              </c:strCache>
            </c:strRef>
          </c:cat>
          <c:val>
            <c:numRef>
              <c:f>V!$M$4:$M$25</c:f>
              <c:numCache>
                <c:formatCode>#\ ##0.0</c:formatCode>
                <c:ptCount val="22"/>
                <c:pt idx="0">
                  <c:v>19700.752253521125</c:v>
                </c:pt>
                <c:pt idx="1">
                  <c:v>20844.939906542055</c:v>
                </c:pt>
                <c:pt idx="2">
                  <c:v>22324.325232558138</c:v>
                </c:pt>
                <c:pt idx="3">
                  <c:v>22824.840641025643</c:v>
                </c:pt>
                <c:pt idx="4">
                  <c:v>23694.158785046729</c:v>
                </c:pt>
                <c:pt idx="5">
                  <c:v>24094.089739130432</c:v>
                </c:pt>
                <c:pt idx="6">
                  <c:v>25059.573243243241</c:v>
                </c:pt>
                <c:pt idx="7">
                  <c:v>25636.279687499999</c:v>
                </c:pt>
                <c:pt idx="8">
                  <c:v>25669.014084507042</c:v>
                </c:pt>
                <c:pt idx="9">
                  <c:v>27988.132931034481</c:v>
                </c:pt>
                <c:pt idx="10">
                  <c:v>28104.513513513513</c:v>
                </c:pt>
                <c:pt idx="11">
                  <c:v>29123.921538461538</c:v>
                </c:pt>
                <c:pt idx="12">
                  <c:v>29182.742895805139</c:v>
                </c:pt>
                <c:pt idx="13">
                  <c:v>29455.622950819674</c:v>
                </c:pt>
                <c:pt idx="14">
                  <c:v>29999.74672727273</c:v>
                </c:pt>
                <c:pt idx="15">
                  <c:v>31102.884615384617</c:v>
                </c:pt>
                <c:pt idx="16">
                  <c:v>31437.952110091741</c:v>
                </c:pt>
                <c:pt idx="17">
                  <c:v>31538.182136752137</c:v>
                </c:pt>
                <c:pt idx="18">
                  <c:v>33022.659577464787</c:v>
                </c:pt>
                <c:pt idx="19">
                  <c:v>37943.405529411764</c:v>
                </c:pt>
                <c:pt idx="20">
                  <c:v>44073.572068965521</c:v>
                </c:pt>
                <c:pt idx="21">
                  <c:v>49685.009080459771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7AA-4EFC-8561-1AF2C6B137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38251392"/>
        <c:axId val="238275200"/>
      </c:barChart>
      <c:catAx>
        <c:axId val="238251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38275200"/>
        <c:crosses val="autoZero"/>
        <c:auto val="1"/>
        <c:lblAlgn val="ctr"/>
        <c:lblOffset val="100"/>
        <c:noMultiLvlLbl val="0"/>
      </c:catAx>
      <c:valAx>
        <c:axId val="238275200"/>
        <c:scaling>
          <c:orientation val="minMax"/>
        </c:scaling>
        <c:delete val="1"/>
        <c:axPos val="b"/>
        <c:numFmt formatCode="#\ ##0.0" sourceLinked="1"/>
        <c:majorTickMark val="none"/>
        <c:minorTickMark val="none"/>
        <c:tickLblPos val="nextTo"/>
        <c:crossAx val="23825139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VI!$B$32</c:f>
              <c:strCache>
                <c:ptCount val="1"/>
                <c:pt idx="0">
                  <c:v>Refundacja kosztów wyposażenia i doposażenia stanowiska pracy</c:v>
                </c:pt>
              </c:strCache>
            </c:strRef>
          </c:tx>
          <c:spPr>
            <a:gradFill>
              <a:gsLst>
                <a:gs pos="62000">
                  <a:schemeClr val="accent2">
                    <a:lumMod val="40000"/>
                    <a:lumOff val="60000"/>
                  </a:schemeClr>
                </a:gs>
                <a:gs pos="0">
                  <a:schemeClr val="accent2">
                    <a:lumMod val="60000"/>
                    <a:lumOff val="40000"/>
                  </a:schemeClr>
                </a:gs>
                <a:gs pos="100000">
                  <a:schemeClr val="accent2">
                    <a:lumMod val="20000"/>
                    <a:lumOff val="80000"/>
                  </a:scheme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0A2-4C52-B0C5-901C792C44F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0A2-4C52-B0C5-901C792C44F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0A2-4C52-B0C5-901C792C44FD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62000">
                    <a:schemeClr val="accent2">
                      <a:lumMod val="40000"/>
                      <a:lumOff val="60000"/>
                    </a:schemeClr>
                  </a:gs>
                  <a:gs pos="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20000"/>
                      <a:lumOff val="80000"/>
                    </a:schemeClr>
                  </a:gs>
                </a:gsLst>
              </a:gradFill>
            </c:spPr>
            <c:extLst>
              <c:ext xmlns:c16="http://schemas.microsoft.com/office/drawing/2014/chart" uri="{C3380CC4-5D6E-409C-BE32-E72D297353CC}">
                <c16:uniqueId val="{00000004-90A2-4C52-B0C5-901C792C44F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0A2-4C52-B0C5-901C792C44F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0A2-4C52-B0C5-901C792C44FD}"/>
              </c:ext>
            </c:extLst>
          </c:dPt>
          <c:dPt>
            <c:idx val="12"/>
            <c:invertIfNegative val="0"/>
            <c:bubble3D val="0"/>
            <c:spPr>
              <a:solidFill>
                <a:srgbClr val="66FF33"/>
              </a:solidFill>
            </c:spPr>
            <c:extLst>
              <c:ext xmlns:c16="http://schemas.microsoft.com/office/drawing/2014/chart" uri="{C3380CC4-5D6E-409C-BE32-E72D297353CC}">
                <c16:uniqueId val="{00000008-D6F4-424B-B134-6A3A714CFA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VI!$L$4:$L$25</c:f>
              <c:strCache>
                <c:ptCount val="22"/>
                <c:pt idx="0">
                  <c:v>Lubaczów</c:v>
                </c:pt>
                <c:pt idx="1">
                  <c:v>Tarnobrzeg</c:v>
                </c:pt>
                <c:pt idx="2">
                  <c:v>Łańcut</c:v>
                </c:pt>
                <c:pt idx="3">
                  <c:v>Brzozów</c:v>
                </c:pt>
                <c:pt idx="4">
                  <c:v>Mielec</c:v>
                </c:pt>
                <c:pt idx="5">
                  <c:v>Przemyśl</c:v>
                </c:pt>
                <c:pt idx="6">
                  <c:v>Ropczyce</c:v>
                </c:pt>
                <c:pt idx="7">
                  <c:v>Dębica</c:v>
                </c:pt>
                <c:pt idx="8">
                  <c:v>Przeworsk</c:v>
                </c:pt>
                <c:pt idx="9">
                  <c:v>Jarosław</c:v>
                </c:pt>
                <c:pt idx="10">
                  <c:v>Sanok</c:v>
                </c:pt>
                <c:pt idx="11">
                  <c:v>Kolbuszowa</c:v>
                </c:pt>
                <c:pt idx="12">
                  <c:v>Podkarpacie</c:v>
                </c:pt>
                <c:pt idx="13">
                  <c:v>Krosno</c:v>
                </c:pt>
                <c:pt idx="14">
                  <c:v>Stalowa Wola</c:v>
                </c:pt>
                <c:pt idx="15">
                  <c:v>Strzyżów</c:v>
                </c:pt>
                <c:pt idx="16">
                  <c:v>Nisko</c:v>
                </c:pt>
                <c:pt idx="17">
                  <c:v>Rzeszów</c:v>
                </c:pt>
                <c:pt idx="18">
                  <c:v>Jasło</c:v>
                </c:pt>
                <c:pt idx="19">
                  <c:v>Ustrzyki Dolne</c:v>
                </c:pt>
                <c:pt idx="20">
                  <c:v>Leżajsk</c:v>
                </c:pt>
                <c:pt idx="21">
                  <c:v>Lesko</c:v>
                </c:pt>
              </c:strCache>
            </c:strRef>
          </c:cat>
          <c:val>
            <c:numRef>
              <c:f>VI!$M$4:$M$25</c:f>
              <c:numCache>
                <c:formatCode>#\ ##0.0</c:formatCode>
                <c:ptCount val="22"/>
                <c:pt idx="0">
                  <c:v>0</c:v>
                </c:pt>
                <c:pt idx="1">
                  <c:v>28929.117631578945</c:v>
                </c:pt>
                <c:pt idx="2">
                  <c:v>37687.5</c:v>
                </c:pt>
                <c:pt idx="3">
                  <c:v>37726.620416666665</c:v>
                </c:pt>
                <c:pt idx="4">
                  <c:v>38286.187350427346</c:v>
                </c:pt>
                <c:pt idx="5">
                  <c:v>38564.820476190478</c:v>
                </c:pt>
                <c:pt idx="6">
                  <c:v>40850.424109589039</c:v>
                </c:pt>
                <c:pt idx="7">
                  <c:v>40966.443478260873</c:v>
                </c:pt>
                <c:pt idx="8">
                  <c:v>41252.479767441859</c:v>
                </c:pt>
                <c:pt idx="9">
                  <c:v>45659.340540540536</c:v>
                </c:pt>
                <c:pt idx="10">
                  <c:v>47949.561836734691</c:v>
                </c:pt>
                <c:pt idx="11">
                  <c:v>50004.321951219514</c:v>
                </c:pt>
                <c:pt idx="12">
                  <c:v>53083.715462184882</c:v>
                </c:pt>
                <c:pt idx="13">
                  <c:v>54219.033389830511</c:v>
                </c:pt>
                <c:pt idx="14">
                  <c:v>58375.379230769235</c:v>
                </c:pt>
                <c:pt idx="15">
                  <c:v>58952.05169811321</c:v>
                </c:pt>
                <c:pt idx="16">
                  <c:v>65243.697428571431</c:v>
                </c:pt>
                <c:pt idx="17">
                  <c:v>74903.813303571427</c:v>
                </c:pt>
                <c:pt idx="18">
                  <c:v>82121.770769230774</c:v>
                </c:pt>
                <c:pt idx="19">
                  <c:v>107142.85714285714</c:v>
                </c:pt>
                <c:pt idx="20">
                  <c:v>110291.49571428572</c:v>
                </c:pt>
                <c:pt idx="21">
                  <c:v>127669.182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0A2-4C52-B0C5-901C792C44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95384960"/>
        <c:axId val="295421056"/>
      </c:barChart>
      <c:catAx>
        <c:axId val="295384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95421056"/>
        <c:crosses val="autoZero"/>
        <c:auto val="1"/>
        <c:lblAlgn val="ctr"/>
        <c:lblOffset val="100"/>
        <c:noMultiLvlLbl val="0"/>
      </c:catAx>
      <c:valAx>
        <c:axId val="295421056"/>
        <c:scaling>
          <c:orientation val="minMax"/>
        </c:scaling>
        <c:delete val="1"/>
        <c:axPos val="b"/>
        <c:numFmt formatCode="#\ ##0.0" sourceLinked="1"/>
        <c:majorTickMark val="none"/>
        <c:minorTickMark val="none"/>
        <c:tickLblPos val="nextTo"/>
        <c:crossAx val="29538496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VII!$B$33</c:f>
              <c:strCache>
                <c:ptCount val="1"/>
                <c:pt idx="0">
                  <c:v>Bon na zasiedlenie</c:v>
                </c:pt>
              </c:strCache>
            </c:strRef>
          </c:tx>
          <c:spPr>
            <a:gradFill>
              <a:gsLst>
                <a:gs pos="62000">
                  <a:schemeClr val="accent2">
                    <a:lumMod val="40000"/>
                    <a:lumOff val="60000"/>
                  </a:schemeClr>
                </a:gs>
                <a:gs pos="0">
                  <a:schemeClr val="accent2">
                    <a:lumMod val="60000"/>
                    <a:lumOff val="40000"/>
                  </a:schemeClr>
                </a:gs>
                <a:gs pos="100000">
                  <a:schemeClr val="accent2">
                    <a:lumMod val="20000"/>
                    <a:lumOff val="80000"/>
                  </a:scheme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001-4509-837E-9C710C22AB3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001-4509-837E-9C710C22AB3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001-4509-837E-9C710C22AB3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001-4509-837E-9C710C22AB31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62000">
                    <a:schemeClr val="accent2">
                      <a:lumMod val="40000"/>
                      <a:lumOff val="60000"/>
                    </a:schemeClr>
                  </a:gs>
                  <a:gs pos="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20000"/>
                      <a:lumOff val="80000"/>
                    </a:schemeClr>
                  </a:gs>
                </a:gsLst>
              </a:gradFill>
            </c:spPr>
            <c:extLst>
              <c:ext xmlns:c16="http://schemas.microsoft.com/office/drawing/2014/chart" uri="{C3380CC4-5D6E-409C-BE32-E72D297353CC}">
                <c16:uniqueId val="{00000005-C001-4509-837E-9C710C22AB31}"/>
              </c:ext>
            </c:extLst>
          </c:dPt>
          <c:dPt>
            <c:idx val="12"/>
            <c:invertIfNegative val="0"/>
            <c:bubble3D val="0"/>
            <c:spPr>
              <a:solidFill>
                <a:srgbClr val="66FF33"/>
              </a:solidFill>
            </c:spPr>
            <c:extLst>
              <c:ext xmlns:c16="http://schemas.microsoft.com/office/drawing/2014/chart" uri="{C3380CC4-5D6E-409C-BE32-E72D297353CC}">
                <c16:uniqueId val="{00000007-62BF-402E-9016-8A588180FA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VII!$L$4:$L$25</c:f>
              <c:strCache>
                <c:ptCount val="22"/>
                <c:pt idx="0">
                  <c:v>Ropczyce</c:v>
                </c:pt>
                <c:pt idx="1">
                  <c:v>Mielec</c:v>
                </c:pt>
                <c:pt idx="2">
                  <c:v>Stalowa Wola</c:v>
                </c:pt>
                <c:pt idx="3">
                  <c:v>Krosno</c:v>
                </c:pt>
                <c:pt idx="4">
                  <c:v>Łańcut</c:v>
                </c:pt>
                <c:pt idx="5">
                  <c:v>Tarnobrzeg</c:v>
                </c:pt>
                <c:pt idx="6">
                  <c:v>Przeworsk</c:v>
                </c:pt>
                <c:pt idx="7">
                  <c:v>Lubaczów</c:v>
                </c:pt>
                <c:pt idx="8">
                  <c:v>Przemyśl</c:v>
                </c:pt>
                <c:pt idx="9">
                  <c:v>Sanok</c:v>
                </c:pt>
                <c:pt idx="10">
                  <c:v>Leżajsk</c:v>
                </c:pt>
                <c:pt idx="11">
                  <c:v>Strzyżów</c:v>
                </c:pt>
                <c:pt idx="12">
                  <c:v>Podkarpacie</c:v>
                </c:pt>
                <c:pt idx="13">
                  <c:v>Rzeszów</c:v>
                </c:pt>
                <c:pt idx="14">
                  <c:v>Dębica</c:v>
                </c:pt>
                <c:pt idx="15">
                  <c:v>Jarosław</c:v>
                </c:pt>
                <c:pt idx="16">
                  <c:v>Nisko</c:v>
                </c:pt>
                <c:pt idx="17">
                  <c:v>Lesko</c:v>
                </c:pt>
                <c:pt idx="18">
                  <c:v>Kolbuszowa</c:v>
                </c:pt>
                <c:pt idx="19">
                  <c:v>Jasło</c:v>
                </c:pt>
                <c:pt idx="20">
                  <c:v>Brzozów</c:v>
                </c:pt>
                <c:pt idx="21">
                  <c:v>Ustrzyki Dolne</c:v>
                </c:pt>
              </c:strCache>
            </c:strRef>
          </c:cat>
          <c:val>
            <c:numRef>
              <c:f>VII!$M$4:$M$25</c:f>
              <c:numCache>
                <c:formatCode>#\ ##0.0</c:formatCode>
                <c:ptCount val="22"/>
                <c:pt idx="0">
                  <c:v>5888.8888888888887</c:v>
                </c:pt>
                <c:pt idx="1">
                  <c:v>8000</c:v>
                </c:pt>
                <c:pt idx="2">
                  <c:v>8169.3208823529403</c:v>
                </c:pt>
                <c:pt idx="3">
                  <c:v>8435.8974358974356</c:v>
                </c:pt>
                <c:pt idx="4">
                  <c:v>8489.3617021276605</c:v>
                </c:pt>
                <c:pt idx="5">
                  <c:v>8913.7588888888895</c:v>
                </c:pt>
                <c:pt idx="6">
                  <c:v>9086.95652173913</c:v>
                </c:pt>
                <c:pt idx="7">
                  <c:v>9749.8708139534883</c:v>
                </c:pt>
                <c:pt idx="8">
                  <c:v>9857.1428571428569</c:v>
                </c:pt>
                <c:pt idx="9">
                  <c:v>9954.5555555555547</c:v>
                </c:pt>
                <c:pt idx="10">
                  <c:v>10323.529411764706</c:v>
                </c:pt>
                <c:pt idx="11">
                  <c:v>10722.222222222223</c:v>
                </c:pt>
                <c:pt idx="12">
                  <c:v>11216.649255202628</c:v>
                </c:pt>
                <c:pt idx="13">
                  <c:v>11535.76390625</c:v>
                </c:pt>
                <c:pt idx="14">
                  <c:v>11734.375</c:v>
                </c:pt>
                <c:pt idx="15">
                  <c:v>13770.712608695652</c:v>
                </c:pt>
                <c:pt idx="16">
                  <c:v>14850</c:v>
                </c:pt>
                <c:pt idx="17">
                  <c:v>14985.714285714286</c:v>
                </c:pt>
                <c:pt idx="18">
                  <c:v>15000</c:v>
                </c:pt>
                <c:pt idx="19">
                  <c:v>16382.142857142857</c:v>
                </c:pt>
                <c:pt idx="20">
                  <c:v>17228.571428571428</c:v>
                </c:pt>
                <c:pt idx="21">
                  <c:v>18338.249705882354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01-4509-837E-9C710C22AB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38342144"/>
        <c:axId val="238345216"/>
      </c:barChart>
      <c:catAx>
        <c:axId val="23834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38345216"/>
        <c:crosses val="autoZero"/>
        <c:auto val="1"/>
        <c:lblAlgn val="ctr"/>
        <c:lblOffset val="100"/>
        <c:noMultiLvlLbl val="0"/>
      </c:catAx>
      <c:valAx>
        <c:axId val="238345216"/>
        <c:scaling>
          <c:orientation val="minMax"/>
        </c:scaling>
        <c:delete val="1"/>
        <c:axPos val="b"/>
        <c:numFmt formatCode="#\ ##0.0" sourceLinked="1"/>
        <c:majorTickMark val="none"/>
        <c:minorTickMark val="none"/>
        <c:tickLblPos val="nextTo"/>
        <c:crossAx val="23834214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chemeClr val="accent4">
            <a:lumMod val="60000"/>
            <a:lumOff val="40000"/>
            <a:alpha val="38000"/>
          </a:schemeClr>
        </a:solidFill>
        <a:ln w="1270">
          <a:solidFill>
            <a:schemeClr val="accent1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1580019374549787E-2"/>
          <c:y val="1.7826459811335463E-2"/>
          <c:w val="0.96780386587823997"/>
          <c:h val="0.947650558158426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'W1'!$C$2</c:f>
              <c:strCache>
                <c:ptCount val="1"/>
                <c:pt idx="0">
                  <c:v>Bezrobotni rozpoczynający aktywne formy</c:v>
                </c:pt>
              </c:strCache>
            </c:strRef>
          </c:tx>
          <c:spPr>
            <a:gradFill flip="none" rotWithShape="1">
              <a:gsLst>
                <a:gs pos="100000">
                  <a:srgbClr val="4D7583">
                    <a:alpha val="61000"/>
                    <a:lumMod val="70000"/>
                  </a:srgbClr>
                </a:gs>
                <a:gs pos="0">
                  <a:srgbClr val="89C7D3">
                    <a:lumMod val="93000"/>
                    <a:lumOff val="7000"/>
                  </a:srgbClr>
                </a:gs>
                <a:gs pos="23320">
                  <a:srgbClr val="0F6353">
                    <a:alpha val="57000"/>
                    <a:lumMod val="80000"/>
                    <a:lumOff val="20000"/>
                  </a:srgbClr>
                </a:gs>
                <a:gs pos="73727">
                  <a:srgbClr val="37BFA8">
                    <a:alpha val="67000"/>
                    <a:lumMod val="80000"/>
                    <a:lumOff val="20000"/>
                  </a:srgbClr>
                </a:gs>
                <a:gs pos="47000">
                  <a:srgbClr val="37BFA8">
                    <a:alpha val="57000"/>
                    <a:lumMod val="85000"/>
                  </a:srgbClr>
                </a:gs>
              </a:gsLst>
              <a:lin ang="8100000" scaled="1"/>
              <a:tileRect/>
            </a:gradFill>
            <a:ln w="3175"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1.6821987230419791E-3"/>
                  <c:y val="0.130465312861033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E3-490C-8A13-DCD1050BFC83}"/>
                </c:ext>
              </c:extLst>
            </c:dLbl>
            <c:dLbl>
              <c:idx val="1"/>
              <c:layout>
                <c:manualLayout>
                  <c:x val="3.7367717293107943E-3"/>
                  <c:y val="0.169017953214582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E3-490C-8A13-DCD1050BFC83}"/>
                </c:ext>
              </c:extLst>
            </c:dLbl>
            <c:dLbl>
              <c:idx val="2"/>
              <c:layout>
                <c:manualLayout>
                  <c:x val="9.7044268619712339E-4"/>
                  <c:y val="0.15906753588029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E3-490C-8A13-DCD1050BFC83}"/>
                </c:ext>
              </c:extLst>
            </c:dLbl>
            <c:dLbl>
              <c:idx val="3"/>
              <c:layout>
                <c:manualLayout>
                  <c:x val="7.3203488466168894E-3"/>
                  <c:y val="0.157212917086464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E3-490C-8A13-DCD1050BFC83}"/>
                </c:ext>
              </c:extLst>
            </c:dLbl>
            <c:dLbl>
              <c:idx val="4"/>
              <c:layout>
                <c:manualLayout>
                  <c:x val="3.9059372473681103E-3"/>
                  <c:y val="0.160880700609735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E3-490C-8A13-DCD1050BFC83}"/>
                </c:ext>
              </c:extLst>
            </c:dLbl>
            <c:dLbl>
              <c:idx val="5"/>
              <c:layout>
                <c:manualLayout>
                  <c:x val="3.8969010768383407E-3"/>
                  <c:y val="0.155935771433103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E3-490C-8A13-DCD1050BFC83}"/>
                </c:ext>
              </c:extLst>
            </c:dLbl>
            <c:dLbl>
              <c:idx val="6"/>
              <c:layout>
                <c:manualLayout>
                  <c:x val="5.7129612098214483E-3"/>
                  <c:y val="0.147792390836128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E3-490C-8A13-DCD1050BFC83}"/>
                </c:ext>
              </c:extLst>
            </c:dLbl>
            <c:dLbl>
              <c:idx val="7"/>
              <c:layout>
                <c:manualLayout>
                  <c:x val="1.7918178764781782E-3"/>
                  <c:y val="0.14975479019737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E3-490C-8A13-DCD1050BFC83}"/>
                </c:ext>
              </c:extLst>
            </c:dLbl>
            <c:dLbl>
              <c:idx val="8"/>
              <c:layout>
                <c:manualLayout>
                  <c:x val="1.9712969179728874E-3"/>
                  <c:y val="-7.3858423483414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2E3-490C-8A13-DCD1050BFC83}"/>
                </c:ext>
              </c:extLst>
            </c:dLbl>
            <c:dLbl>
              <c:idx val="9"/>
              <c:layout>
                <c:manualLayout>
                  <c:x val="-6.0810314971582787E-4"/>
                  <c:y val="2.0741917646050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E3-490C-8A13-DCD1050BFC83}"/>
                </c:ext>
              </c:extLst>
            </c:dLbl>
            <c:dLbl>
              <c:idx val="10"/>
              <c:layout>
                <c:manualLayout>
                  <c:x val="9.8334835701525633E-4"/>
                  <c:y val="8.5550285442806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2E3-490C-8A13-DCD1050BFC83}"/>
                </c:ext>
              </c:extLst>
            </c:dLbl>
            <c:dLbl>
              <c:idx val="11"/>
              <c:layout>
                <c:manualLayout>
                  <c:x val="1.2182654383391949E-2"/>
                  <c:y val="-6.60513874934772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E3-490C-8A13-DCD1050BFC83}"/>
                </c:ext>
              </c:extLst>
            </c:dLbl>
            <c:dLbl>
              <c:idx val="12"/>
              <c:layout>
                <c:manualLayout>
                  <c:x val="1.4619667186197637E-2"/>
                  <c:y val="7.1250885924125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2E3-490C-8A13-DCD1050BFC83}"/>
                </c:ext>
              </c:extLst>
            </c:dLbl>
            <c:dLbl>
              <c:idx val="13"/>
              <c:layout>
                <c:manualLayout>
                  <c:x val="3.2634031436079916E-3"/>
                  <c:y val="-0.32679175163340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2E3-490C-8A13-DCD1050BFC83}"/>
                </c:ext>
              </c:extLst>
            </c:dLbl>
            <c:dLbl>
              <c:idx val="14"/>
              <c:layout>
                <c:manualLayout>
                  <c:x val="0"/>
                  <c:y val="-0.33767412351244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2E3-490C-8A13-DCD1050BFC83}"/>
                </c:ext>
              </c:extLst>
            </c:dLbl>
            <c:dLbl>
              <c:idx val="15"/>
              <c:layout>
                <c:manualLayout>
                  <c:x val="-3.035229212384315E-3"/>
                  <c:y val="-0.378885805090903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2E3-490C-8A13-DCD1050BFC83}"/>
                </c:ext>
              </c:extLst>
            </c:dLbl>
            <c:dLbl>
              <c:idx val="16"/>
              <c:layout>
                <c:manualLayout>
                  <c:x val="0"/>
                  <c:y val="-0.37258384202484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2E3-490C-8A13-DCD1050BFC83}"/>
                </c:ext>
              </c:extLst>
            </c:dLbl>
            <c:dLbl>
              <c:idx val="17"/>
              <c:layout>
                <c:manualLayout>
                  <c:x val="-3.035229212384315E-3"/>
                  <c:y val="-0.387828030845188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2E3-490C-8A13-DCD1050BFC83}"/>
                </c:ext>
              </c:extLst>
            </c:dLbl>
            <c:dLbl>
              <c:idx val="18"/>
              <c:layout>
                <c:manualLayout>
                  <c:x val="0"/>
                  <c:y val="-0.39869081625136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2E3-490C-8A13-DCD1050BFC83}"/>
                </c:ext>
              </c:extLst>
            </c:dLbl>
            <c:dLbl>
              <c:idx val="19"/>
              <c:layout>
                <c:manualLayout>
                  <c:x val="0"/>
                  <c:y val="-0.41183401282760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2E3-490C-8A13-DCD1050BFC83}"/>
                </c:ext>
              </c:extLst>
            </c:dLbl>
            <c:dLbl>
              <c:idx val="20"/>
              <c:layout>
                <c:manualLayout>
                  <c:x val="0"/>
                  <c:y val="-0.42944849122536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2E3-490C-8A13-DCD1050BFC83}"/>
                </c:ext>
              </c:extLst>
            </c:dLbl>
            <c:dLbl>
              <c:idx val="21"/>
              <c:layout>
                <c:manualLayout>
                  <c:x val="0"/>
                  <c:y val="-0.446703118104957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2E3-490C-8A13-DCD1050BFC83}"/>
                </c:ext>
              </c:extLst>
            </c:dLbl>
            <c:dLbl>
              <c:idx val="22"/>
              <c:layout>
                <c:manualLayout>
                  <c:x val="0"/>
                  <c:y val="-0.448983529275019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2E3-490C-8A13-DCD1050BFC83}"/>
                </c:ext>
              </c:extLst>
            </c:dLbl>
            <c:dLbl>
              <c:idx val="23"/>
              <c:layout>
                <c:manualLayout>
                  <c:x val="-3.035229212384315E-3"/>
                  <c:y val="-0.4601162877920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2E3-490C-8A13-DCD1050BFC83}"/>
                </c:ext>
              </c:extLst>
            </c:dLbl>
            <c:dLbl>
              <c:idx val="24"/>
              <c:layout>
                <c:manualLayout>
                  <c:x val="0"/>
                  <c:y val="-0.477281036264248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2E3-490C-8A13-DCD1050BF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'W1'!$B$3:$B$10</c:f>
              <c:numCache>
                <c:formatCode>0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'W1'!$C$3:$C$10</c:f>
              <c:numCache>
                <c:formatCode>#,##0</c:formatCode>
                <c:ptCount val="8"/>
                <c:pt idx="0">
                  <c:v>36658</c:v>
                </c:pt>
                <c:pt idx="1">
                  <c:v>35772</c:v>
                </c:pt>
                <c:pt idx="2">
                  <c:v>31163</c:v>
                </c:pt>
                <c:pt idx="3">
                  <c:v>26667</c:v>
                </c:pt>
                <c:pt idx="4">
                  <c:v>22309</c:v>
                </c:pt>
                <c:pt idx="5">
                  <c:v>18849</c:v>
                </c:pt>
                <c:pt idx="6">
                  <c:v>22945</c:v>
                </c:pt>
                <c:pt idx="7">
                  <c:v>24415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19-62E3-490C-8A13-DCD1050BFC83}"/>
            </c:ext>
          </c:extLst>
        </c:ser>
        <c:ser>
          <c:idx val="2"/>
          <c:order val="1"/>
          <c:tx>
            <c:strRef>
              <c:f>'W1'!$G$2</c:f>
              <c:strCache>
                <c:ptCount val="1"/>
                <c:pt idx="0">
                  <c:v>Bezrobotni zatrudnieni po zakończeniu form aktywnych</c:v>
                </c:pt>
              </c:strCache>
            </c:strRef>
          </c:tx>
          <c:spPr>
            <a:gradFill>
              <a:gsLst>
                <a:gs pos="100000">
                  <a:srgbClr val="CB9D6F"/>
                </a:gs>
                <a:gs pos="87000">
                  <a:srgbClr val="D3C9BA">
                    <a:lumMod val="79000"/>
                  </a:srgbClr>
                </a:gs>
                <a:gs pos="38000">
                  <a:srgbClr val="FFFFA7">
                    <a:lumMod val="42000"/>
                  </a:srgbClr>
                </a:gs>
                <a:gs pos="0">
                  <a:schemeClr val="accent4">
                    <a:lumMod val="60000"/>
                    <a:lumOff val="40000"/>
                  </a:schemeClr>
                </a:gs>
              </a:gsLst>
              <a:lin ang="5400000" scaled="1"/>
            </a:gra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9561587125635188E-2"/>
                  <c:y val="3.7030695925201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2E3-490C-8A13-DCD1050BFC83}"/>
                </c:ext>
              </c:extLst>
            </c:dLbl>
            <c:dLbl>
              <c:idx val="1"/>
              <c:layout>
                <c:manualLayout>
                  <c:x val="1.9179890620992273E-2"/>
                  <c:y val="2.2146306216374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2E3-490C-8A13-DCD1050BFC83}"/>
                </c:ext>
              </c:extLst>
            </c:dLbl>
            <c:dLbl>
              <c:idx val="2"/>
              <c:layout>
                <c:manualLayout>
                  <c:x val="1.9439437069403116E-2"/>
                  <c:y val="2.5105120050144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2E3-490C-8A13-DCD1050BFC83}"/>
                </c:ext>
              </c:extLst>
            </c:dLbl>
            <c:dLbl>
              <c:idx val="3"/>
              <c:layout>
                <c:manualLayout>
                  <c:x val="1.8223676304144672E-2"/>
                  <c:y val="3.8100395814350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2E3-490C-8A13-DCD1050BFC83}"/>
                </c:ext>
              </c:extLst>
            </c:dLbl>
            <c:dLbl>
              <c:idx val="4"/>
              <c:layout>
                <c:manualLayout>
                  <c:x val="1.8053455447515916E-2"/>
                  <c:y val="3.1932845046226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2E3-490C-8A13-DCD1050BFC83}"/>
                </c:ext>
              </c:extLst>
            </c:dLbl>
            <c:dLbl>
              <c:idx val="5"/>
              <c:layout>
                <c:manualLayout>
                  <c:x val="1.8224752516093852E-2"/>
                  <c:y val="3.2825168453248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2E3-490C-8A13-DCD1050BFC83}"/>
                </c:ext>
              </c:extLst>
            </c:dLbl>
            <c:dLbl>
              <c:idx val="6"/>
              <c:layout>
                <c:manualLayout>
                  <c:x val="1.0675289835169742E-2"/>
                  <c:y val="9.15594117848497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D9-4671-B025-16594CD434EC}"/>
                </c:ext>
              </c:extLst>
            </c:dLbl>
            <c:dLbl>
              <c:idx val="7"/>
              <c:layout>
                <c:manualLayout>
                  <c:x val="1.3344112293962178E-2"/>
                  <c:y val="1.8311882356969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D9-4671-B025-16594CD434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'W1'!$B$3:$B$10</c:f>
              <c:numCache>
                <c:formatCode>0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'W1'!$G$3:$G$10</c:f>
              <c:numCache>
                <c:formatCode>#,##0</c:formatCode>
                <c:ptCount val="8"/>
                <c:pt idx="0">
                  <c:v>20007</c:v>
                </c:pt>
                <c:pt idx="1">
                  <c:v>22811</c:v>
                </c:pt>
                <c:pt idx="2">
                  <c:v>21303</c:v>
                </c:pt>
                <c:pt idx="3">
                  <c:v>19586</c:v>
                </c:pt>
                <c:pt idx="4">
                  <c:v>16015</c:v>
                </c:pt>
                <c:pt idx="5">
                  <c:v>13499</c:v>
                </c:pt>
                <c:pt idx="6">
                  <c:v>14591</c:v>
                </c:pt>
                <c:pt idx="7">
                  <c:v>15697</c:v>
                </c:pt>
              </c:numCache>
            </c:numRef>
          </c:val>
          <c:shape val="cone"/>
          <c:extLst>
            <c:ext xmlns:c16="http://schemas.microsoft.com/office/drawing/2014/chart" uri="{C3380CC4-5D6E-409C-BE32-E72D297353CC}">
              <c16:uniqueId val="{00000027-62E3-490C-8A13-DCD1050BF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96071168"/>
        <c:axId val="296072704"/>
        <c:axId val="0"/>
      </c:bar3DChart>
      <c:catAx>
        <c:axId val="2960711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solidFill>
            <a:srgbClr val="FFFFFF"/>
          </a:solidFill>
          <a:ln w="190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96072704"/>
        <c:crosses val="autoZero"/>
        <c:auto val="0"/>
        <c:lblAlgn val="ctr"/>
        <c:lblOffset val="100"/>
        <c:noMultiLvlLbl val="0"/>
      </c:catAx>
      <c:valAx>
        <c:axId val="296072704"/>
        <c:scaling>
          <c:orientation val="minMax"/>
        </c:scaling>
        <c:delete val="0"/>
        <c:axPos val="l"/>
        <c:majorGridlines>
          <c:spPr>
            <a:ln>
              <a:solidFill>
                <a:srgbClr val="D5E4CA"/>
              </a:solidFill>
            </a:ln>
          </c:spPr>
        </c:majorGridlines>
        <c:minorGridlines>
          <c:spPr>
            <a:ln w="3175">
              <a:solidFill>
                <a:srgbClr val="E8E3ED"/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 w="3175">
            <a:solidFill>
              <a:schemeClr val="accent4">
                <a:lumMod val="75000"/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96071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988598454226442"/>
          <c:y val="0.10608779970837967"/>
          <c:w val="0.40929313400241629"/>
          <c:h val="0.18064563804113329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chemeClr val="accent4">
            <a:lumMod val="60000"/>
            <a:lumOff val="40000"/>
            <a:alpha val="38000"/>
          </a:schemeClr>
        </a:solidFill>
        <a:ln w="1270">
          <a:solidFill>
            <a:schemeClr val="accent1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1580019374549787E-2"/>
          <c:y val="1.7826459811335463E-2"/>
          <c:w val="0.96780386587823997"/>
          <c:h val="0.947650558158426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'W1'!$C$2</c:f>
              <c:strCache>
                <c:ptCount val="1"/>
                <c:pt idx="0">
                  <c:v>Bezrobotni rozpoczynający aktywne formy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3175"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1.0133002521846251E-3"/>
                  <c:y val="0.11843608048091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96-4BF8-BBBD-88A1299EDE70}"/>
                </c:ext>
              </c:extLst>
            </c:dLbl>
            <c:dLbl>
              <c:idx val="1"/>
              <c:layout>
                <c:manualLayout>
                  <c:x val="1.0014734880907162E-3"/>
                  <c:y val="0.142565313252698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96-4BF8-BBBD-88A1299EDE70}"/>
                </c:ext>
              </c:extLst>
            </c:dLbl>
            <c:dLbl>
              <c:idx val="2"/>
              <c:layout>
                <c:manualLayout>
                  <c:x val="6.2548798601400179E-3"/>
                  <c:y val="0.142000580546627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96-4BF8-BBBD-88A1299EDE70}"/>
                </c:ext>
              </c:extLst>
            </c:dLbl>
            <c:dLbl>
              <c:idx val="3"/>
              <c:layout>
                <c:manualLayout>
                  <c:x val="7.2671241512448827E-3"/>
                  <c:y val="0.144494260249353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96-4BF8-BBBD-88A1299EDE70}"/>
                </c:ext>
              </c:extLst>
            </c:dLbl>
            <c:dLbl>
              <c:idx val="4"/>
              <c:layout>
                <c:manualLayout>
                  <c:x val="1.1571221512545978E-3"/>
                  <c:y val="0.13900612666459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96-4BF8-BBBD-88A1299EDE70}"/>
                </c:ext>
              </c:extLst>
            </c:dLbl>
            <c:dLbl>
              <c:idx val="5"/>
              <c:layout>
                <c:manualLayout>
                  <c:x val="3.8434871382884519E-3"/>
                  <c:y val="0.14310193232063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96-4BF8-BBBD-88A1299EDE70}"/>
                </c:ext>
              </c:extLst>
            </c:dLbl>
            <c:dLbl>
              <c:idx val="6"/>
              <c:layout>
                <c:manualLayout>
                  <c:x val="5.6597401955597679E-3"/>
                  <c:y val="0.1397666005761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96-4BF8-BBBD-88A1299EDE70}"/>
                </c:ext>
              </c:extLst>
            </c:dLbl>
            <c:dLbl>
              <c:idx val="7"/>
              <c:layout>
                <c:manualLayout>
                  <c:x val="4.4483416448029929E-3"/>
                  <c:y val="0.137036063472160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96-4BF8-BBBD-88A1299EDE70}"/>
                </c:ext>
              </c:extLst>
            </c:dLbl>
            <c:dLbl>
              <c:idx val="8"/>
              <c:layout>
                <c:manualLayout>
                  <c:x val="1.9712969179728874E-3"/>
                  <c:y val="-7.3858423483414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96-4BF8-BBBD-88A1299EDE70}"/>
                </c:ext>
              </c:extLst>
            </c:dLbl>
            <c:dLbl>
              <c:idx val="9"/>
              <c:layout>
                <c:manualLayout>
                  <c:x val="-6.0810314971582787E-4"/>
                  <c:y val="2.0741917646050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96-4BF8-BBBD-88A1299EDE70}"/>
                </c:ext>
              </c:extLst>
            </c:dLbl>
            <c:dLbl>
              <c:idx val="10"/>
              <c:layout>
                <c:manualLayout>
                  <c:x val="9.8334835701525633E-4"/>
                  <c:y val="8.5550285442806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96-4BF8-BBBD-88A1299EDE70}"/>
                </c:ext>
              </c:extLst>
            </c:dLbl>
            <c:dLbl>
              <c:idx val="11"/>
              <c:layout>
                <c:manualLayout>
                  <c:x val="1.2182654383391949E-2"/>
                  <c:y val="-6.60513874934772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96-4BF8-BBBD-88A1299EDE70}"/>
                </c:ext>
              </c:extLst>
            </c:dLbl>
            <c:dLbl>
              <c:idx val="12"/>
              <c:layout>
                <c:manualLayout>
                  <c:x val="1.4619667186197637E-2"/>
                  <c:y val="7.1250885924125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96-4BF8-BBBD-88A1299EDE70}"/>
                </c:ext>
              </c:extLst>
            </c:dLbl>
            <c:dLbl>
              <c:idx val="13"/>
              <c:layout>
                <c:manualLayout>
                  <c:x val="3.2634031436079916E-3"/>
                  <c:y val="-0.32679175163340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196-4BF8-BBBD-88A1299EDE70}"/>
                </c:ext>
              </c:extLst>
            </c:dLbl>
            <c:dLbl>
              <c:idx val="14"/>
              <c:layout>
                <c:manualLayout>
                  <c:x val="0"/>
                  <c:y val="-0.33767412351244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196-4BF8-BBBD-88A1299EDE70}"/>
                </c:ext>
              </c:extLst>
            </c:dLbl>
            <c:dLbl>
              <c:idx val="15"/>
              <c:layout>
                <c:manualLayout>
                  <c:x val="-3.035229212384315E-3"/>
                  <c:y val="-0.378885805090903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196-4BF8-BBBD-88A1299EDE70}"/>
                </c:ext>
              </c:extLst>
            </c:dLbl>
            <c:dLbl>
              <c:idx val="16"/>
              <c:layout>
                <c:manualLayout>
                  <c:x val="0"/>
                  <c:y val="-0.37258384202484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196-4BF8-BBBD-88A1299EDE70}"/>
                </c:ext>
              </c:extLst>
            </c:dLbl>
            <c:dLbl>
              <c:idx val="17"/>
              <c:layout>
                <c:manualLayout>
                  <c:x val="-3.035229212384315E-3"/>
                  <c:y val="-0.387828030845188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196-4BF8-BBBD-88A1299EDE70}"/>
                </c:ext>
              </c:extLst>
            </c:dLbl>
            <c:dLbl>
              <c:idx val="18"/>
              <c:layout>
                <c:manualLayout>
                  <c:x val="0"/>
                  <c:y val="-0.39869081625136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196-4BF8-BBBD-88A1299EDE70}"/>
                </c:ext>
              </c:extLst>
            </c:dLbl>
            <c:dLbl>
              <c:idx val="19"/>
              <c:layout>
                <c:manualLayout>
                  <c:x val="0"/>
                  <c:y val="-0.41183401282760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96-4BF8-BBBD-88A1299EDE70}"/>
                </c:ext>
              </c:extLst>
            </c:dLbl>
            <c:dLbl>
              <c:idx val="20"/>
              <c:layout>
                <c:manualLayout>
                  <c:x val="0"/>
                  <c:y val="-0.42944849122536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96-4BF8-BBBD-88A1299EDE70}"/>
                </c:ext>
              </c:extLst>
            </c:dLbl>
            <c:dLbl>
              <c:idx val="21"/>
              <c:layout>
                <c:manualLayout>
                  <c:x val="0"/>
                  <c:y val="-0.446703118104957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96-4BF8-BBBD-88A1299EDE70}"/>
                </c:ext>
              </c:extLst>
            </c:dLbl>
            <c:dLbl>
              <c:idx val="22"/>
              <c:layout>
                <c:manualLayout>
                  <c:x val="0"/>
                  <c:y val="-0.448983529275019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196-4BF8-BBBD-88A1299EDE70}"/>
                </c:ext>
              </c:extLst>
            </c:dLbl>
            <c:dLbl>
              <c:idx val="23"/>
              <c:layout>
                <c:manualLayout>
                  <c:x val="-3.035229212384315E-3"/>
                  <c:y val="-0.4601162877920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196-4BF8-BBBD-88A1299EDE70}"/>
                </c:ext>
              </c:extLst>
            </c:dLbl>
            <c:dLbl>
              <c:idx val="24"/>
              <c:layout>
                <c:manualLayout>
                  <c:x val="0"/>
                  <c:y val="-0.477281036264248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196-4BF8-BBBD-88A1299EDE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'W1'!$B$3:$B$10</c:f>
              <c:numCache>
                <c:formatCode>0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'W1'!$C$3:$C$10</c:f>
              <c:numCache>
                <c:formatCode>#,##0</c:formatCode>
                <c:ptCount val="8"/>
                <c:pt idx="0">
                  <c:v>36658</c:v>
                </c:pt>
                <c:pt idx="1">
                  <c:v>35772</c:v>
                </c:pt>
                <c:pt idx="2">
                  <c:v>31163</c:v>
                </c:pt>
                <c:pt idx="3">
                  <c:v>26667</c:v>
                </c:pt>
                <c:pt idx="4">
                  <c:v>22309</c:v>
                </c:pt>
                <c:pt idx="5">
                  <c:v>18849</c:v>
                </c:pt>
                <c:pt idx="6">
                  <c:v>22945</c:v>
                </c:pt>
                <c:pt idx="7">
                  <c:v>24415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19-5196-4BF8-BBBD-88A1299EDE70}"/>
            </c:ext>
          </c:extLst>
        </c:ser>
        <c:ser>
          <c:idx val="1"/>
          <c:order val="1"/>
          <c:tx>
            <c:strRef>
              <c:f>'W1'!$E$2</c:f>
              <c:strCache>
                <c:ptCount val="1"/>
                <c:pt idx="0">
                  <c:v>Bezrobotni kończący udział w aktywnych formach</c:v>
                </c:pt>
              </c:strCache>
            </c:strRef>
          </c:tx>
          <c:spPr>
            <a:gradFill flip="none" rotWithShape="1">
              <a:gsLst>
                <a:gs pos="95000">
                  <a:srgbClr val="0000EA"/>
                </a:gs>
                <a:gs pos="99000">
                  <a:srgbClr val="5F2987">
                    <a:lumMod val="86000"/>
                  </a:srgbClr>
                </a:gs>
              </a:gsLst>
              <a:lin ang="16200000" scaled="1"/>
              <a:tileRect/>
            </a:gradFill>
            <a:ln w="6350"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4240399677044369E-3"/>
                  <c:y val="0.14457649264090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196-4BF8-BBBD-88A1299EDE70}"/>
                </c:ext>
              </c:extLst>
            </c:dLbl>
            <c:dLbl>
              <c:idx val="1"/>
              <c:layout>
                <c:manualLayout>
                  <c:x val="4.6018783858072076E-3"/>
                  <c:y val="0.154532586166543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196-4BF8-BBBD-88A1299EDE70}"/>
                </c:ext>
              </c:extLst>
            </c:dLbl>
            <c:dLbl>
              <c:idx val="2"/>
              <c:layout>
                <c:manualLayout>
                  <c:x val="7.2654346135171887E-3"/>
                  <c:y val="0.148732039777986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196-4BF8-BBBD-88A1299EDE70}"/>
                </c:ext>
              </c:extLst>
            </c:dLbl>
            <c:dLbl>
              <c:idx val="3"/>
              <c:layout>
                <c:manualLayout>
                  <c:x val="8.560887666226754E-3"/>
                  <c:y val="0.14281728173449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196-4BF8-BBBD-88A1299EDE70}"/>
                </c:ext>
              </c:extLst>
            </c:dLbl>
            <c:dLbl>
              <c:idx val="4"/>
              <c:layout>
                <c:manualLayout>
                  <c:x val="6.2825460404310604E-3"/>
                  <c:y val="0.1388824266567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196-4BF8-BBBD-88A1299EDE70}"/>
                </c:ext>
              </c:extLst>
            </c:dLbl>
            <c:dLbl>
              <c:idx val="5"/>
              <c:layout>
                <c:manualLayout>
                  <c:x val="8.96489837536164E-3"/>
                  <c:y val="0.14281728173449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196-4BF8-BBBD-88A1299EDE70}"/>
                </c:ext>
              </c:extLst>
            </c:dLbl>
            <c:dLbl>
              <c:idx val="6"/>
              <c:layout>
                <c:manualLayout>
                  <c:x val="5.3642822854292364E-3"/>
                  <c:y val="0.14281728173449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F4-4C57-A4B9-5118AD1AD541}"/>
                </c:ext>
              </c:extLst>
            </c:dLbl>
            <c:dLbl>
              <c:idx val="7"/>
              <c:layout>
                <c:manualLayout>
                  <c:x val="8.046423428143757E-3"/>
                  <c:y val="0.138354241680295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F4-4C57-A4B9-5118AD1AD5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'W1'!$B$3:$B$10</c:f>
              <c:numCache>
                <c:formatCode>0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 formatCode="General">
                  <c:v>2021</c:v>
                </c:pt>
                <c:pt idx="7" formatCode="General">
                  <c:v>2022</c:v>
                </c:pt>
              </c:numCache>
            </c:numRef>
          </c:cat>
          <c:val>
            <c:numRef>
              <c:f>'W1'!$E$3:$E$10</c:f>
              <c:numCache>
                <c:formatCode>#,##0</c:formatCode>
                <c:ptCount val="8"/>
                <c:pt idx="0">
                  <c:v>26927</c:v>
                </c:pt>
                <c:pt idx="1">
                  <c:v>28312</c:v>
                </c:pt>
                <c:pt idx="2">
                  <c:v>24731</c:v>
                </c:pt>
                <c:pt idx="3">
                  <c:v>22212</c:v>
                </c:pt>
                <c:pt idx="4">
                  <c:v>17964</c:v>
                </c:pt>
                <c:pt idx="5">
                  <c:v>15254</c:v>
                </c:pt>
                <c:pt idx="6">
                  <c:v>16308</c:v>
                </c:pt>
                <c:pt idx="7">
                  <c:v>18116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196-4BF8-BBBD-88A1299ED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96071168"/>
        <c:axId val="296072704"/>
        <c:axId val="0"/>
      </c:bar3DChart>
      <c:catAx>
        <c:axId val="2960711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solidFill>
            <a:srgbClr val="FFFFFF"/>
          </a:solidFill>
          <a:ln w="190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96072704"/>
        <c:crosses val="autoZero"/>
        <c:auto val="0"/>
        <c:lblAlgn val="ctr"/>
        <c:lblOffset val="100"/>
        <c:noMultiLvlLbl val="0"/>
      </c:catAx>
      <c:valAx>
        <c:axId val="296072704"/>
        <c:scaling>
          <c:orientation val="minMax"/>
        </c:scaling>
        <c:delete val="0"/>
        <c:axPos val="l"/>
        <c:majorGridlines>
          <c:spPr>
            <a:ln>
              <a:solidFill>
                <a:srgbClr val="D5E4CA"/>
              </a:solidFill>
            </a:ln>
          </c:spPr>
        </c:majorGridlines>
        <c:minorGridlines>
          <c:spPr>
            <a:ln w="3175">
              <a:solidFill>
                <a:srgbClr val="E8E3ED"/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 w="3175">
            <a:solidFill>
              <a:schemeClr val="accent4">
                <a:lumMod val="75000"/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96071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03870752053369"/>
          <c:y val="0.15334267643240743"/>
          <c:w val="0.34510642823770132"/>
          <c:h val="0.19141065099237628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noFill/>
        <a:ln w="2540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1580019374549787E-2"/>
          <c:y val="1.7826459811335463E-2"/>
          <c:w val="0.96780386587823997"/>
          <c:h val="0.947650558158426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'W2'!$B$2</c:f>
              <c:strCache>
                <c:ptCount val="1"/>
                <c:pt idx="0">
                  <c:v>6 podstawowych form - rozpoczęcie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3175"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6.7381033323194253E-4"/>
                  <c:y val="0.17487104111985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33-4BCD-9E56-C825F2493DC9}"/>
                </c:ext>
              </c:extLst>
            </c:dLbl>
            <c:dLbl>
              <c:idx val="1"/>
              <c:layout>
                <c:manualLayout>
                  <c:x val="2.8213308017205774E-3"/>
                  <c:y val="0.152967629046369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33-4BCD-9E56-C825F2493DC9}"/>
                </c:ext>
              </c:extLst>
            </c:dLbl>
            <c:dLbl>
              <c:idx val="2"/>
              <c:layout>
                <c:manualLayout>
                  <c:x val="4.1180468596612478E-3"/>
                  <c:y val="0.117800953200103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33-4BCD-9E56-C825F2493DC9}"/>
                </c:ext>
              </c:extLst>
            </c:dLbl>
            <c:dLbl>
              <c:idx val="3"/>
              <c:layout>
                <c:manualLayout>
                  <c:x val="2.4765058770792755E-3"/>
                  <c:y val="0.1172291347380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33-4BCD-9E56-C825F2493DC9}"/>
                </c:ext>
              </c:extLst>
            </c:dLbl>
            <c:dLbl>
              <c:idx val="4"/>
              <c:layout>
                <c:manualLayout>
                  <c:x val="-2.2004903390983287E-3"/>
                  <c:y val="0.12830387087126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33-4BCD-9E56-C825F2493DC9}"/>
                </c:ext>
              </c:extLst>
            </c:dLbl>
            <c:dLbl>
              <c:idx val="5"/>
              <c:layout>
                <c:manualLayout>
                  <c:x val="5.2571775371541484E-3"/>
                  <c:y val="9.9022701605695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33-4BCD-9E56-C825F2493DC9}"/>
                </c:ext>
              </c:extLst>
            </c:dLbl>
            <c:dLbl>
              <c:idx val="6"/>
              <c:layout>
                <c:manualLayout>
                  <c:x val="7.2990245462979681E-3"/>
                  <c:y val="5.42624287965364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33-4BCD-9E56-C825F2493DC9}"/>
                </c:ext>
              </c:extLst>
            </c:dLbl>
            <c:dLbl>
              <c:idx val="7"/>
              <c:layout>
                <c:manualLayout>
                  <c:x val="7.1305351680114966E-3"/>
                  <c:y val="-1.31809933253892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33-4BCD-9E56-C825F2493DC9}"/>
                </c:ext>
              </c:extLst>
            </c:dLbl>
            <c:dLbl>
              <c:idx val="8"/>
              <c:layout>
                <c:manualLayout>
                  <c:x val="1.9712969179728874E-3"/>
                  <c:y val="-7.3858423483414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33-4BCD-9E56-C825F2493DC9}"/>
                </c:ext>
              </c:extLst>
            </c:dLbl>
            <c:dLbl>
              <c:idx val="9"/>
              <c:layout>
                <c:manualLayout>
                  <c:x val="-6.0810314971582787E-4"/>
                  <c:y val="2.0741917646050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33-4BCD-9E56-C825F2493DC9}"/>
                </c:ext>
              </c:extLst>
            </c:dLbl>
            <c:dLbl>
              <c:idx val="10"/>
              <c:layout>
                <c:manualLayout>
                  <c:x val="9.8334835701525633E-4"/>
                  <c:y val="8.5550285442806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33-4BCD-9E56-C825F2493DC9}"/>
                </c:ext>
              </c:extLst>
            </c:dLbl>
            <c:dLbl>
              <c:idx val="11"/>
              <c:layout>
                <c:manualLayout>
                  <c:x val="1.2182654383391949E-2"/>
                  <c:y val="-6.60513874934772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33-4BCD-9E56-C825F2493DC9}"/>
                </c:ext>
              </c:extLst>
            </c:dLbl>
            <c:dLbl>
              <c:idx val="12"/>
              <c:layout>
                <c:manualLayout>
                  <c:x val="1.4619667186197637E-2"/>
                  <c:y val="7.1250885924125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F33-4BCD-9E56-C825F2493DC9}"/>
                </c:ext>
              </c:extLst>
            </c:dLbl>
            <c:dLbl>
              <c:idx val="13"/>
              <c:layout>
                <c:manualLayout>
                  <c:x val="3.2634031436079916E-3"/>
                  <c:y val="-0.32679175163340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33-4BCD-9E56-C825F2493DC9}"/>
                </c:ext>
              </c:extLst>
            </c:dLbl>
            <c:dLbl>
              <c:idx val="14"/>
              <c:layout>
                <c:manualLayout>
                  <c:x val="0"/>
                  <c:y val="-0.33767412351244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F33-4BCD-9E56-C825F2493DC9}"/>
                </c:ext>
              </c:extLst>
            </c:dLbl>
            <c:dLbl>
              <c:idx val="15"/>
              <c:layout>
                <c:manualLayout>
                  <c:x val="-3.035229212384315E-3"/>
                  <c:y val="-0.378885805090903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33-4BCD-9E56-C825F2493DC9}"/>
                </c:ext>
              </c:extLst>
            </c:dLbl>
            <c:dLbl>
              <c:idx val="16"/>
              <c:layout>
                <c:manualLayout>
                  <c:x val="0"/>
                  <c:y val="-0.37258384202484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33-4BCD-9E56-C825F2493DC9}"/>
                </c:ext>
              </c:extLst>
            </c:dLbl>
            <c:dLbl>
              <c:idx val="17"/>
              <c:layout>
                <c:manualLayout>
                  <c:x val="-3.035229212384315E-3"/>
                  <c:y val="-0.387828030845188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33-4BCD-9E56-C825F2493DC9}"/>
                </c:ext>
              </c:extLst>
            </c:dLbl>
            <c:dLbl>
              <c:idx val="18"/>
              <c:layout>
                <c:manualLayout>
                  <c:x val="0"/>
                  <c:y val="-0.39869081625136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33-4BCD-9E56-C825F2493DC9}"/>
                </c:ext>
              </c:extLst>
            </c:dLbl>
            <c:dLbl>
              <c:idx val="19"/>
              <c:layout>
                <c:manualLayout>
                  <c:x val="0"/>
                  <c:y val="-0.41183401282760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F33-4BCD-9E56-C825F2493DC9}"/>
                </c:ext>
              </c:extLst>
            </c:dLbl>
            <c:dLbl>
              <c:idx val="20"/>
              <c:layout>
                <c:manualLayout>
                  <c:x val="0"/>
                  <c:y val="-0.42944849122536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F33-4BCD-9E56-C825F2493DC9}"/>
                </c:ext>
              </c:extLst>
            </c:dLbl>
            <c:dLbl>
              <c:idx val="21"/>
              <c:layout>
                <c:manualLayout>
                  <c:x val="0"/>
                  <c:y val="-0.446703118104957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F33-4BCD-9E56-C825F2493DC9}"/>
                </c:ext>
              </c:extLst>
            </c:dLbl>
            <c:dLbl>
              <c:idx val="22"/>
              <c:layout>
                <c:manualLayout>
                  <c:x val="0"/>
                  <c:y val="-0.448983529275019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F33-4BCD-9E56-C825F2493DC9}"/>
                </c:ext>
              </c:extLst>
            </c:dLbl>
            <c:dLbl>
              <c:idx val="23"/>
              <c:layout>
                <c:manualLayout>
                  <c:x val="-3.035229212384315E-3"/>
                  <c:y val="-0.4601162877920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F33-4BCD-9E56-C825F2493DC9}"/>
                </c:ext>
              </c:extLst>
            </c:dLbl>
            <c:dLbl>
              <c:idx val="24"/>
              <c:layout>
                <c:manualLayout>
                  <c:x val="0"/>
                  <c:y val="-0.477281036264248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F33-4BCD-9E56-C825F2493D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'W2'!$E$3:$E$8</c:f>
              <c:strCache>
                <c:ptCount val="6"/>
                <c:pt idx="0">
                  <c:v>staże</c:v>
                </c:pt>
                <c:pt idx="1">
                  <c:v>prace interw.</c:v>
                </c:pt>
                <c:pt idx="2">
                  <c:v>dof. działaln.</c:v>
                </c:pt>
                <c:pt idx="3">
                  <c:v>refund. koszt.</c:v>
                </c:pt>
                <c:pt idx="4">
                  <c:v>roboty publ.</c:v>
                </c:pt>
                <c:pt idx="5">
                  <c:v>szkolenia</c:v>
                </c:pt>
              </c:strCache>
            </c:strRef>
          </c:cat>
          <c:val>
            <c:numRef>
              <c:f>'W2'!$F$3:$F$8</c:f>
              <c:numCache>
                <c:formatCode>#,##0</c:formatCode>
                <c:ptCount val="6"/>
                <c:pt idx="0">
                  <c:v>10657</c:v>
                </c:pt>
                <c:pt idx="1">
                  <c:v>5180</c:v>
                </c:pt>
                <c:pt idx="2">
                  <c:v>2383</c:v>
                </c:pt>
                <c:pt idx="3">
                  <c:v>2178</c:v>
                </c:pt>
                <c:pt idx="4">
                  <c:v>2172</c:v>
                </c:pt>
                <c:pt idx="5">
                  <c:v>1845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19-BF33-4BCD-9E56-C825F2493DC9}"/>
            </c:ext>
          </c:extLst>
        </c:ser>
        <c:ser>
          <c:idx val="1"/>
          <c:order val="1"/>
          <c:tx>
            <c:strRef>
              <c:f>'W2'!$B$10</c:f>
              <c:strCache>
                <c:ptCount val="1"/>
                <c:pt idx="0">
                  <c:v>6 podstawowych form - graduacja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Lbls>
            <c:dLbl>
              <c:idx val="0"/>
              <c:layout>
                <c:manualLayout>
                  <c:x val="2.7756618707078053E-3"/>
                  <c:y val="0.113850929054188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F33-4BCD-9E56-C825F2493DC9}"/>
                </c:ext>
              </c:extLst>
            </c:dLbl>
            <c:dLbl>
              <c:idx val="1"/>
              <c:layout>
                <c:manualLayout>
                  <c:x val="9.7955695808451815E-3"/>
                  <c:y val="0.10972056460484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F33-4BCD-9E56-C825F2493DC9}"/>
                </c:ext>
              </c:extLst>
            </c:dLbl>
            <c:dLbl>
              <c:idx val="2"/>
              <c:layout>
                <c:manualLayout>
                  <c:x val="5.6782384053792731E-3"/>
                  <c:y val="0.102714915317844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F33-4BCD-9E56-C825F2493DC9}"/>
                </c:ext>
              </c:extLst>
            </c:dLbl>
            <c:dLbl>
              <c:idx val="3"/>
              <c:layout>
                <c:manualLayout>
                  <c:x val="7.0609402706669913E-3"/>
                  <c:y val="0.11087753655145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F33-4BCD-9E56-C825F2493DC9}"/>
                </c:ext>
              </c:extLst>
            </c:dLbl>
            <c:dLbl>
              <c:idx val="4"/>
              <c:layout>
                <c:manualLayout>
                  <c:x val="8.0321237236666981E-3"/>
                  <c:y val="9.1426501325088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F33-4BCD-9E56-C825F2493DC9}"/>
                </c:ext>
              </c:extLst>
            </c:dLbl>
            <c:dLbl>
              <c:idx val="5"/>
              <c:layout>
                <c:manualLayout>
                  <c:x val="1.602297632540527E-2"/>
                  <c:y val="9.6464917302223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F33-4BCD-9E56-C825F2493DC9}"/>
                </c:ext>
              </c:extLst>
            </c:dLbl>
            <c:dLbl>
              <c:idx val="6"/>
              <c:layout>
                <c:manualLayout>
                  <c:x val="3.0297297600334751E-3"/>
                  <c:y val="6.451610854835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F33-4BCD-9E56-C825F2493D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'W2'!$E$3:$E$8</c:f>
              <c:strCache>
                <c:ptCount val="6"/>
                <c:pt idx="0">
                  <c:v>staże</c:v>
                </c:pt>
                <c:pt idx="1">
                  <c:v>prace interw.</c:v>
                </c:pt>
                <c:pt idx="2">
                  <c:v>dof. działaln.</c:v>
                </c:pt>
                <c:pt idx="3">
                  <c:v>refund. koszt.</c:v>
                </c:pt>
                <c:pt idx="4">
                  <c:v>roboty publ.</c:v>
                </c:pt>
                <c:pt idx="5">
                  <c:v>szkolenia</c:v>
                </c:pt>
              </c:strCache>
            </c:strRef>
          </c:cat>
          <c:val>
            <c:numRef>
              <c:f>'W2'!$F$11:$F$16</c:f>
              <c:numCache>
                <c:formatCode>#,##0</c:formatCode>
                <c:ptCount val="6"/>
                <c:pt idx="0">
                  <c:v>7469</c:v>
                </c:pt>
                <c:pt idx="1">
                  <c:v>3613</c:v>
                </c:pt>
                <c:pt idx="2">
                  <c:v>2324</c:v>
                </c:pt>
                <c:pt idx="3">
                  <c:v>1891</c:v>
                </c:pt>
                <c:pt idx="4">
                  <c:v>1501</c:v>
                </c:pt>
                <c:pt idx="5">
                  <c:v>1318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F33-4BCD-9E56-C825F2493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54108800"/>
        <c:axId val="254110336"/>
        <c:axId val="0"/>
      </c:bar3DChart>
      <c:catAx>
        <c:axId val="25410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3175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pl-PL"/>
          </a:p>
        </c:txPr>
        <c:crossAx val="254110336"/>
        <c:crosses val="autoZero"/>
        <c:auto val="0"/>
        <c:lblAlgn val="ctr"/>
        <c:lblOffset val="100"/>
        <c:noMultiLvlLbl val="0"/>
      </c:catAx>
      <c:valAx>
        <c:axId val="254110336"/>
        <c:scaling>
          <c:orientation val="minMax"/>
          <c:max val="14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 w="3175">
              <a:solidFill>
                <a:schemeClr val="accent4">
                  <a:lumMod val="20000"/>
                  <a:lumOff val="80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65000"/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54108800"/>
        <c:crosses val="autoZero"/>
        <c:crossBetween val="between"/>
        <c:majorUnit val="2000"/>
        <c:minorUnit val="200"/>
      </c:valAx>
    </c:plotArea>
    <c:legend>
      <c:legendPos val="t"/>
      <c:layout>
        <c:manualLayout>
          <c:xMode val="edge"/>
          <c:yMode val="edge"/>
          <c:x val="0.37082723311957438"/>
          <c:y val="0.26209669097768257"/>
          <c:w val="0.45344844079848412"/>
          <c:h val="0.11673192890147036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noFill/>
        <a:ln w="2540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1580019374549787E-2"/>
          <c:y val="1.7826459811335463E-2"/>
          <c:w val="0.96780386587823997"/>
          <c:h val="0.947650558158426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'W2'!$B$2</c:f>
              <c:strCache>
                <c:ptCount val="1"/>
                <c:pt idx="0">
                  <c:v>6 podstawowych form - rozpoczęcie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  <a:alpha val="85098"/>
              </a:schemeClr>
            </a:solidFill>
            <a:ln w="3175"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7.7028233781295218E-3"/>
                  <c:y val="0.10222392932590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85-4F06-85DC-2536E1CDA57B}"/>
                </c:ext>
              </c:extLst>
            </c:dLbl>
            <c:dLbl>
              <c:idx val="1"/>
              <c:layout>
                <c:manualLayout>
                  <c:x val="8.8806118374482792E-3"/>
                  <c:y val="9.320914154023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85-4F06-85DC-2536E1CDA57B}"/>
                </c:ext>
              </c:extLst>
            </c:dLbl>
            <c:dLbl>
              <c:idx val="2"/>
              <c:layout>
                <c:manualLayout>
                  <c:x val="3.0197828691091435E-3"/>
                  <c:y val="0.107302669483387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85-4F06-85DC-2536E1CDA57B}"/>
                </c:ext>
              </c:extLst>
            </c:dLbl>
            <c:dLbl>
              <c:idx val="3"/>
              <c:layout>
                <c:manualLayout>
                  <c:x val="2.4764870864969397E-3"/>
                  <c:y val="9.3430478202419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85-4F06-85DC-2536E1CDA57B}"/>
                </c:ext>
              </c:extLst>
            </c:dLbl>
            <c:dLbl>
              <c:idx val="4"/>
              <c:layout>
                <c:manualLayout>
                  <c:x val="6.8886796769664299E-3"/>
                  <c:y val="9.644084885730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85-4F06-85DC-2536E1CDA57B}"/>
                </c:ext>
              </c:extLst>
            </c:dLbl>
            <c:dLbl>
              <c:idx val="5"/>
              <c:layout>
                <c:manualLayout>
                  <c:x val="7.7377936157145737E-3"/>
                  <c:y val="9.174812752064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85-4F06-85DC-2536E1CDA57B}"/>
                </c:ext>
              </c:extLst>
            </c:dLbl>
            <c:dLbl>
              <c:idx val="6"/>
              <c:layout>
                <c:manualLayout>
                  <c:x val="1.6388308531827645E-2"/>
                  <c:y val="5.87539238849145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85-4F06-85DC-2536E1CDA57B}"/>
                </c:ext>
              </c:extLst>
            </c:dLbl>
            <c:dLbl>
              <c:idx val="7"/>
              <c:layout>
                <c:manualLayout>
                  <c:x val="7.1305351680114966E-3"/>
                  <c:y val="-1.31809933253892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85-4F06-85DC-2536E1CDA57B}"/>
                </c:ext>
              </c:extLst>
            </c:dLbl>
            <c:dLbl>
              <c:idx val="8"/>
              <c:layout>
                <c:manualLayout>
                  <c:x val="1.9712969179728874E-3"/>
                  <c:y val="-7.3858423483414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85-4F06-85DC-2536E1CDA57B}"/>
                </c:ext>
              </c:extLst>
            </c:dLbl>
            <c:dLbl>
              <c:idx val="9"/>
              <c:layout>
                <c:manualLayout>
                  <c:x val="-6.0810314971582787E-4"/>
                  <c:y val="2.0741917646050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85-4F06-85DC-2536E1CDA57B}"/>
                </c:ext>
              </c:extLst>
            </c:dLbl>
            <c:dLbl>
              <c:idx val="10"/>
              <c:layout>
                <c:manualLayout>
                  <c:x val="9.8334835701525633E-4"/>
                  <c:y val="8.5550285442806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85-4F06-85DC-2536E1CDA57B}"/>
                </c:ext>
              </c:extLst>
            </c:dLbl>
            <c:dLbl>
              <c:idx val="11"/>
              <c:layout>
                <c:manualLayout>
                  <c:x val="1.2182654383391949E-2"/>
                  <c:y val="-6.60513874934772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85-4F06-85DC-2536E1CDA57B}"/>
                </c:ext>
              </c:extLst>
            </c:dLbl>
            <c:dLbl>
              <c:idx val="12"/>
              <c:layout>
                <c:manualLayout>
                  <c:x val="1.4619667186197637E-2"/>
                  <c:y val="7.1250885924125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85-4F06-85DC-2536E1CDA57B}"/>
                </c:ext>
              </c:extLst>
            </c:dLbl>
            <c:dLbl>
              <c:idx val="13"/>
              <c:layout>
                <c:manualLayout>
                  <c:x val="3.2634031436079916E-3"/>
                  <c:y val="-0.32679175163340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85-4F06-85DC-2536E1CDA57B}"/>
                </c:ext>
              </c:extLst>
            </c:dLbl>
            <c:dLbl>
              <c:idx val="14"/>
              <c:layout>
                <c:manualLayout>
                  <c:x val="0"/>
                  <c:y val="-0.33767412351244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85-4F06-85DC-2536E1CDA57B}"/>
                </c:ext>
              </c:extLst>
            </c:dLbl>
            <c:dLbl>
              <c:idx val="15"/>
              <c:layout>
                <c:manualLayout>
                  <c:x val="-3.035229212384315E-3"/>
                  <c:y val="-0.378885805090903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885-4F06-85DC-2536E1CDA57B}"/>
                </c:ext>
              </c:extLst>
            </c:dLbl>
            <c:dLbl>
              <c:idx val="16"/>
              <c:layout>
                <c:manualLayout>
                  <c:x val="0"/>
                  <c:y val="-0.37258384202484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85-4F06-85DC-2536E1CDA57B}"/>
                </c:ext>
              </c:extLst>
            </c:dLbl>
            <c:dLbl>
              <c:idx val="17"/>
              <c:layout>
                <c:manualLayout>
                  <c:x val="-3.035229212384315E-3"/>
                  <c:y val="-0.387828030845188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85-4F06-85DC-2536E1CDA57B}"/>
                </c:ext>
              </c:extLst>
            </c:dLbl>
            <c:dLbl>
              <c:idx val="18"/>
              <c:layout>
                <c:manualLayout>
                  <c:x val="0"/>
                  <c:y val="-0.39869081625136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85-4F06-85DC-2536E1CDA57B}"/>
                </c:ext>
              </c:extLst>
            </c:dLbl>
            <c:dLbl>
              <c:idx val="19"/>
              <c:layout>
                <c:manualLayout>
                  <c:x val="0"/>
                  <c:y val="-0.41183401282760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885-4F06-85DC-2536E1CDA57B}"/>
                </c:ext>
              </c:extLst>
            </c:dLbl>
            <c:dLbl>
              <c:idx val="20"/>
              <c:layout>
                <c:manualLayout>
                  <c:x val="0"/>
                  <c:y val="-0.42944849122536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885-4F06-85DC-2536E1CDA57B}"/>
                </c:ext>
              </c:extLst>
            </c:dLbl>
            <c:dLbl>
              <c:idx val="21"/>
              <c:layout>
                <c:manualLayout>
                  <c:x val="0"/>
                  <c:y val="-0.446703118104957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885-4F06-85DC-2536E1CDA57B}"/>
                </c:ext>
              </c:extLst>
            </c:dLbl>
            <c:dLbl>
              <c:idx val="22"/>
              <c:layout>
                <c:manualLayout>
                  <c:x val="0"/>
                  <c:y val="-0.448983529275019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885-4F06-85DC-2536E1CDA57B}"/>
                </c:ext>
              </c:extLst>
            </c:dLbl>
            <c:dLbl>
              <c:idx val="23"/>
              <c:layout>
                <c:manualLayout>
                  <c:x val="-3.035229212384315E-3"/>
                  <c:y val="-0.4601162877920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885-4F06-85DC-2536E1CDA57B}"/>
                </c:ext>
              </c:extLst>
            </c:dLbl>
            <c:dLbl>
              <c:idx val="24"/>
              <c:layout>
                <c:manualLayout>
                  <c:x val="0"/>
                  <c:y val="-0.477281036264248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885-4F06-85DC-2536E1CDA5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'W2'!$B$15:$B$16</c:f>
              <c:strCache>
                <c:ptCount val="2"/>
                <c:pt idx="0">
                  <c:v>dof. działaln.</c:v>
                </c:pt>
                <c:pt idx="1">
                  <c:v>refund. koszt.</c:v>
                </c:pt>
              </c:strCache>
            </c:strRef>
          </c:cat>
          <c:val>
            <c:numRef>
              <c:f>'W2'!$F$7:$F$8</c:f>
              <c:numCache>
                <c:formatCode>#,##0</c:formatCode>
                <c:ptCount val="2"/>
                <c:pt idx="0">
                  <c:v>2172</c:v>
                </c:pt>
                <c:pt idx="1">
                  <c:v>1845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19-3885-4F06-85DC-2536E1CDA57B}"/>
            </c:ext>
          </c:extLst>
        </c:ser>
        <c:ser>
          <c:idx val="1"/>
          <c:order val="1"/>
          <c:tx>
            <c:strRef>
              <c:f>'W2'!$B$10</c:f>
              <c:strCache>
                <c:ptCount val="1"/>
                <c:pt idx="0">
                  <c:v>6 podstawowych form - graduacja</c:v>
                </c:pt>
              </c:strCache>
            </c:strRef>
          </c:tx>
          <c:spPr>
            <a:solidFill>
              <a:schemeClr val="accent6">
                <a:lumMod val="75000"/>
                <a:alpha val="9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390107038473915E-2"/>
                  <c:y val="0.115853596640721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885-4F06-85DC-2536E1CDA57B}"/>
                </c:ext>
              </c:extLst>
            </c:dLbl>
            <c:dLbl>
              <c:idx val="1"/>
              <c:layout>
                <c:manualLayout>
                  <c:x val="2.1921344242697555E-2"/>
                  <c:y val="0.113207965691388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885-4F06-85DC-2536E1CDA57B}"/>
                </c:ext>
              </c:extLst>
            </c:dLbl>
            <c:dLbl>
              <c:idx val="2"/>
              <c:layout>
                <c:manualLayout>
                  <c:x val="8.7080462859664889E-3"/>
                  <c:y val="0.134146341463414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885-4F06-85DC-2536E1CDA57B}"/>
                </c:ext>
              </c:extLst>
            </c:dLbl>
            <c:dLbl>
              <c:idx val="3"/>
              <c:layout>
                <c:manualLayout>
                  <c:x val="8.7082748496108368E-3"/>
                  <c:y val="0.146341463414634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885-4F06-85DC-2536E1CDA57B}"/>
                </c:ext>
              </c:extLst>
            </c:dLbl>
            <c:dLbl>
              <c:idx val="4"/>
              <c:layout>
                <c:manualLayout>
                  <c:x val="1.1611033132814448E-2"/>
                  <c:y val="0.134146341463414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885-4F06-85DC-2536E1CDA57B}"/>
                </c:ext>
              </c:extLst>
            </c:dLbl>
            <c:dLbl>
              <c:idx val="5"/>
              <c:layout>
                <c:manualLayout>
                  <c:x val="1.1610804569170101E-2"/>
                  <c:y val="0.10975609756097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885-4F06-85DC-2536E1CDA5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'W2'!$B$15:$B$16</c:f>
              <c:strCache>
                <c:ptCount val="2"/>
                <c:pt idx="0">
                  <c:v>dof. działaln.</c:v>
                </c:pt>
                <c:pt idx="1">
                  <c:v>refund. koszt.</c:v>
                </c:pt>
              </c:strCache>
            </c:strRef>
          </c:cat>
          <c:val>
            <c:numRef>
              <c:f>'W2'!$F$15:$F$16</c:f>
              <c:numCache>
                <c:formatCode>#,##0</c:formatCode>
                <c:ptCount val="2"/>
                <c:pt idx="0">
                  <c:v>1501</c:v>
                </c:pt>
                <c:pt idx="1">
                  <c:v>1318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885-4F06-85DC-2536E1CDA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96017920"/>
        <c:axId val="296019456"/>
        <c:axId val="0"/>
      </c:bar3DChart>
      <c:catAx>
        <c:axId val="29601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3175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pl-PL"/>
          </a:p>
        </c:txPr>
        <c:crossAx val="296019456"/>
        <c:crosses val="autoZero"/>
        <c:auto val="0"/>
        <c:lblAlgn val="ctr"/>
        <c:lblOffset val="100"/>
        <c:noMultiLvlLbl val="0"/>
      </c:catAx>
      <c:valAx>
        <c:axId val="2960194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 w="3175">
              <a:solidFill>
                <a:schemeClr val="accent4">
                  <a:lumMod val="20000"/>
                  <a:lumOff val="80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65000"/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96017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31818877221473"/>
          <c:y val="5.0386919296789262E-2"/>
          <c:w val="0.31668181122778521"/>
          <c:h val="0.2880651102672061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400" b="0">
                <a:latin typeface="Arial" panose="020B0604020202020204" pitchFamily="34" charset="0"/>
                <a:cs typeface="Arial" panose="020B0604020202020204" pitchFamily="34" charset="0"/>
              </a:rPr>
              <a:t>Przeciętne zatrudnienie w danym roku</a:t>
            </a:r>
          </a:p>
          <a:p>
            <a:pPr>
              <a:defRPr sz="14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 sz="14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7.8581125870315349E-2"/>
          <c:y val="5.1060458607127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8242453865517367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prz.z!$B$17</c:f>
              <c:strCache>
                <c:ptCount val="1"/>
                <c:pt idx="0">
                  <c:v>Własność zagraniczna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prz.z!$C$2:$M$5</c:f>
              <c:strCache>
                <c:ptCount val="11"/>
                <c:pt idx="0">
                  <c:v>1995</c:v>
                </c:pt>
                <c:pt idx="1">
                  <c:v>1998</c:v>
                </c:pt>
                <c:pt idx="2">
                  <c:v>2000</c:v>
                </c:pt>
                <c:pt idx="3">
                  <c:v>2003</c:v>
                </c:pt>
                <c:pt idx="4">
                  <c:v>2005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prz.z!$C$17:$M$17</c:f>
              <c:numCache>
                <c:formatCode>#\ ##0.0</c:formatCode>
                <c:ptCount val="11"/>
                <c:pt idx="0">
                  <c:v>149.1</c:v>
                </c:pt>
                <c:pt idx="1">
                  <c:v>259.7</c:v>
                </c:pt>
                <c:pt idx="2">
                  <c:v>305.7</c:v>
                </c:pt>
                <c:pt idx="3">
                  <c:v>384</c:v>
                </c:pt>
                <c:pt idx="4">
                  <c:v>477.2</c:v>
                </c:pt>
                <c:pt idx="5">
                  <c:v>734.5</c:v>
                </c:pt>
                <c:pt idx="6">
                  <c:v>777.2</c:v>
                </c:pt>
                <c:pt idx="7">
                  <c:v>805.8</c:v>
                </c:pt>
                <c:pt idx="8">
                  <c:v>831.1</c:v>
                </c:pt>
                <c:pt idx="9">
                  <c:v>858.1</c:v>
                </c:pt>
                <c:pt idx="10">
                  <c:v>852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46E-42D1-AFE9-64EDAF458554}"/>
            </c:ext>
          </c:extLst>
        </c:ser>
        <c:ser>
          <c:idx val="1"/>
          <c:order val="1"/>
          <c:tx>
            <c:strRef>
              <c:f>prz.z!$B$15</c:f>
              <c:strCache>
                <c:ptCount val="1"/>
                <c:pt idx="0">
                  <c:v>własność prywatna krajowa</c:v>
                </c:pt>
              </c:strCache>
            </c:strRef>
          </c:tx>
          <c:spPr>
            <a:ln w="79375">
              <a:solidFill>
                <a:schemeClr val="accent2">
                  <a:lumMod val="60000"/>
                  <a:lumOff val="40000"/>
                  <a:alpha val="58000"/>
                </a:schemeClr>
              </a:solidFill>
            </a:ln>
          </c:spPr>
          <c:marker>
            <c:symbol val="none"/>
          </c:marker>
          <c:cat>
            <c:strRef>
              <c:f>prz.z!$C$2:$M$5</c:f>
              <c:strCache>
                <c:ptCount val="11"/>
                <c:pt idx="0">
                  <c:v>1995</c:v>
                </c:pt>
                <c:pt idx="1">
                  <c:v>1998</c:v>
                </c:pt>
                <c:pt idx="2">
                  <c:v>2000</c:v>
                </c:pt>
                <c:pt idx="3">
                  <c:v>2003</c:v>
                </c:pt>
                <c:pt idx="4">
                  <c:v>2005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prz.z!$C$15:$M$15</c:f>
              <c:numCache>
                <c:formatCode>#\ ##0.0</c:formatCode>
                <c:ptCount val="11"/>
                <c:pt idx="0">
                  <c:v>1205.8</c:v>
                </c:pt>
                <c:pt idx="1">
                  <c:v>1464.5</c:v>
                </c:pt>
                <c:pt idx="2">
                  <c:v>1406.6</c:v>
                </c:pt>
                <c:pt idx="3">
                  <c:v>1375</c:v>
                </c:pt>
                <c:pt idx="4">
                  <c:v>1451.9</c:v>
                </c:pt>
                <c:pt idx="5">
                  <c:v>1592.1</c:v>
                </c:pt>
                <c:pt idx="6">
                  <c:v>1652.4</c:v>
                </c:pt>
                <c:pt idx="7">
                  <c:v>1701.3</c:v>
                </c:pt>
                <c:pt idx="8">
                  <c:v>1731.9</c:v>
                </c:pt>
                <c:pt idx="9">
                  <c:v>1758</c:v>
                </c:pt>
                <c:pt idx="10">
                  <c:v>1712.9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46E-42D1-AFE9-64EDAF458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677760"/>
        <c:axId val="296679296"/>
      </c:lineChart>
      <c:catAx>
        <c:axId val="29667776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6">
                  <a:lumMod val="75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96679296"/>
        <c:crosses val="autoZero"/>
        <c:auto val="1"/>
        <c:lblAlgn val="ctr"/>
        <c:lblOffset val="100"/>
        <c:noMultiLvlLbl val="0"/>
      </c:catAx>
      <c:valAx>
        <c:axId val="296679296"/>
        <c:scaling>
          <c:orientation val="minMax"/>
          <c:max val="2000"/>
          <c:min val="0"/>
        </c:scaling>
        <c:delete val="0"/>
        <c:axPos val="l"/>
        <c:majorGridlines>
          <c:spPr>
            <a:ln>
              <a:solidFill>
                <a:srgbClr val="D2D9FE">
                  <a:alpha val="32157"/>
                </a:srgbClr>
              </a:solidFill>
            </a:ln>
          </c:spPr>
        </c:majorGridlines>
        <c:minorGridlines>
          <c:spPr>
            <a:ln w="6350">
              <a:solidFill>
                <a:schemeClr val="accent2">
                  <a:lumMod val="75000"/>
                  <a:alpha val="82000"/>
                </a:schemeClr>
              </a:solidFill>
              <a:prstDash val="sysDot"/>
            </a:ln>
          </c:spPr>
        </c:minorGridlines>
        <c:numFmt formatCode="#\ ##0.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96677760"/>
        <c:crosses val="autoZero"/>
        <c:crossBetween val="midCat"/>
        <c:majorUnit val="200"/>
        <c:minorUnit val="50"/>
      </c:valAx>
      <c:spPr>
        <a:noFill/>
      </c:spPr>
    </c:plotArea>
    <c:legend>
      <c:legendPos val="t"/>
      <c:layout>
        <c:manualLayout>
          <c:xMode val="edge"/>
          <c:yMode val="edge"/>
          <c:x val="0.44414497587977336"/>
          <c:y val="0.33189648367917707"/>
          <c:w val="0.48225305874550062"/>
          <c:h val="0.14180828903026549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99FFCC">
            <a:alpha val="20000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0461613620993841"/>
          <c:y val="4.187089820399556E-2"/>
          <c:w val="0.87281770765615119"/>
          <c:h val="0.825848204235062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'15-21'!$C$36</c:f>
              <c:strCache>
                <c:ptCount val="1"/>
                <c:pt idx="0">
                  <c:v>KOSZTY (w tys. zł.)</c:v>
                </c:pt>
              </c:strCache>
            </c:strRef>
          </c:tx>
          <c:spPr>
            <a:solidFill>
              <a:srgbClr val="DB9C99">
                <a:alpha val="77255"/>
              </a:srgb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99FFCC">
                  <a:alpha val="77255"/>
                </a:srgb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ED7-4BAC-8053-7A74716198D1}"/>
              </c:ext>
            </c:extLst>
          </c:dPt>
          <c:dPt>
            <c:idx val="1"/>
            <c:invertIfNegative val="0"/>
            <c:bubble3D val="0"/>
            <c:spPr>
              <a:solidFill>
                <a:srgbClr val="99FFCC">
                  <a:alpha val="77255"/>
                </a:srgb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1ED7-4BAC-8053-7A74716198D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ED7-4BAC-8053-7A74716198D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ED7-4BAC-8053-7A74716198D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ED7-4BAC-8053-7A74716198D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ED7-4BAC-8053-7A74716198D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ED7-4BAC-8053-7A74716198D1}"/>
              </c:ext>
            </c:extLst>
          </c:dPt>
          <c:dLbls>
            <c:dLbl>
              <c:idx val="0"/>
              <c:layout>
                <c:manualLayout>
                  <c:x val="2.178858389138135E-3"/>
                  <c:y val="0.311074547944176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D7-4BAC-8053-7A74716198D1}"/>
                </c:ext>
              </c:extLst>
            </c:dLbl>
            <c:dLbl>
              <c:idx val="1"/>
              <c:layout>
                <c:manualLayout>
                  <c:x val="3.933891843574424E-3"/>
                  <c:y val="0.310352906491522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D7-4BAC-8053-7A74716198D1}"/>
                </c:ext>
              </c:extLst>
            </c:dLbl>
            <c:dLbl>
              <c:idx val="2"/>
              <c:layout>
                <c:manualLayout>
                  <c:x val="8.6121440066104487E-3"/>
                  <c:y val="1.1652477654337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D7-4BAC-8053-7A74716198D1}"/>
                </c:ext>
              </c:extLst>
            </c:dLbl>
            <c:dLbl>
              <c:idx val="3"/>
              <c:layout>
                <c:manualLayout>
                  <c:x val="1.0338910613472288E-2"/>
                  <c:y val="1.9785306763475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D7-4BAC-8053-7A74716198D1}"/>
                </c:ext>
              </c:extLst>
            </c:dLbl>
            <c:dLbl>
              <c:idx val="4"/>
              <c:layout>
                <c:manualLayout>
                  <c:x val="4.4514062667778027E-3"/>
                  <c:y val="1.5136254313734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D7-4BAC-8053-7A74716198D1}"/>
                </c:ext>
              </c:extLst>
            </c:dLbl>
            <c:dLbl>
              <c:idx val="5"/>
              <c:layout>
                <c:manualLayout>
                  <c:x val="8.0784517020908927E-3"/>
                  <c:y val="9.57078728139868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D7-4BAC-8053-7A74716198D1}"/>
                </c:ext>
              </c:extLst>
            </c:dLbl>
            <c:dLbl>
              <c:idx val="6"/>
              <c:layout>
                <c:manualLayout>
                  <c:x val="8.4578319079019887E-3"/>
                  <c:y val="1.0490845102394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D7-4BAC-8053-7A74716198D1}"/>
                </c:ext>
              </c:extLst>
            </c:dLbl>
            <c:dLbl>
              <c:idx val="7"/>
              <c:layout>
                <c:manualLayout>
                  <c:x val="9.2286812857824505E-3"/>
                  <c:y val="-2.87003111325595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D7-4BAC-8053-7A74716198D1}"/>
                </c:ext>
              </c:extLst>
            </c:dLbl>
            <c:dLbl>
              <c:idx val="8"/>
              <c:layout>
                <c:manualLayout>
                  <c:x val="2.2577922276480348E-3"/>
                  <c:y val="-1.3164701840171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D7-4BAC-8053-7A74716198D1}"/>
                </c:ext>
              </c:extLst>
            </c:dLbl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>
                  <a:defRPr sz="8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'15-21'!$B$37:$B$45</c:f>
              <c:strCache>
                <c:ptCount val="9"/>
                <c:pt idx="0">
                  <c:v>Razem 7 podstawowych form</c:v>
                </c:pt>
                <c:pt idx="1">
                  <c:v>Razem 6 form (do por.)</c:v>
                </c:pt>
                <c:pt idx="2">
                  <c:v>Staże</c:v>
                </c:pt>
                <c:pt idx="3">
                  <c:v>Dofinansowanie działalności gospodarczej</c:v>
                </c:pt>
                <c:pt idx="4">
                  <c:v>Refundacja kosztów wyposażenia lub doposażenia miejsca pracy</c:v>
                </c:pt>
                <c:pt idx="5">
                  <c:v>Roboty publiczne</c:v>
                </c:pt>
                <c:pt idx="6">
                  <c:v>Prace interwencyjne</c:v>
                </c:pt>
                <c:pt idx="7">
                  <c:v>Bon na zasiedlenie</c:v>
                </c:pt>
                <c:pt idx="8">
                  <c:v>Szkolenia</c:v>
                </c:pt>
              </c:strCache>
            </c:strRef>
          </c:cat>
          <c:val>
            <c:numRef>
              <c:f>'15-21'!$C$37:$C$45</c:f>
              <c:numCache>
                <c:formatCode>#,##0.00</c:formatCode>
                <c:ptCount val="9"/>
                <c:pt idx="0">
                  <c:v>286580.28827999998</c:v>
                </c:pt>
                <c:pt idx="1">
                  <c:v>276339.48751000001</c:v>
                </c:pt>
                <c:pt idx="2">
                  <c:v>82696.333379999996</c:v>
                </c:pt>
                <c:pt idx="3">
                  <c:v>64698.140999999996</c:v>
                </c:pt>
                <c:pt idx="4">
                  <c:v>63169.621400000004</c:v>
                </c:pt>
                <c:pt idx="5">
                  <c:v>30695.17913</c:v>
                </c:pt>
                <c:pt idx="6">
                  <c:v>29417.699989999997</c:v>
                </c:pt>
                <c:pt idx="7">
                  <c:v>10240.80077</c:v>
                </c:pt>
                <c:pt idx="8">
                  <c:v>5662.5126100000016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A-1ED7-4BAC-8053-7A7471619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09337344"/>
        <c:axId val="209359616"/>
        <c:axId val="0"/>
      </c:bar3DChart>
      <c:catAx>
        <c:axId val="20933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bg1">
                <a:lumMod val="85000"/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44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09359616"/>
        <c:crosses val="autoZero"/>
        <c:auto val="0"/>
        <c:lblAlgn val="ctr"/>
        <c:lblOffset val="100"/>
        <c:noMultiLvlLbl val="0"/>
      </c:catAx>
      <c:valAx>
        <c:axId val="209359616"/>
        <c:scaling>
          <c:orientation val="minMax"/>
          <c:max val="250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75000"/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09337344"/>
        <c:crosses val="autoZero"/>
        <c:crossBetween val="between"/>
        <c:majorUnit val="35000"/>
        <c:minorUnit val="8000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pl-PL" sz="800">
                <a:latin typeface="Times New Roman" panose="02020603050405020304" pitchFamily="18" charset="0"/>
                <a:cs typeface="Times New Roman" panose="02020603050405020304" pitchFamily="18" charset="0"/>
              </a:rPr>
              <a:t>Efektywność kosztowa   (koszt ponownego zatrudnienia)</a:t>
            </a:r>
            <a:endParaRPr lang="en-US" sz="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536040099248639"/>
          <c:y val="3.0095681067608418E-2"/>
        </c:manualLayout>
      </c:layout>
      <c:overlay val="0"/>
    </c:title>
    <c:autoTitleDeleted val="0"/>
    <c:view3D>
      <c:rotX val="15"/>
      <c:rotY val="20"/>
      <c:rAngAx val="0"/>
      <c:perspective val="20"/>
    </c:view3D>
    <c:floor>
      <c:thickness val="0"/>
      <c:spPr>
        <a:solidFill>
          <a:schemeClr val="accent6">
            <a:lumMod val="40000"/>
            <a:lumOff val="60000"/>
            <a:alpha val="53000"/>
          </a:scheme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8262674066170759E-2"/>
          <c:y val="4.1483333807487366E-2"/>
          <c:w val="0.92608588820014515"/>
          <c:h val="0.7989801224807573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'15-21'!$C$13</c:f>
              <c:strCache>
                <c:ptCount val="1"/>
                <c:pt idx="0">
                  <c:v>Efektywność kosztowa (w proc.)</c:v>
                </c:pt>
              </c:strCache>
            </c:strRef>
          </c:tx>
          <c:spPr>
            <a:gradFill flip="none" rotWithShape="1">
              <a:gsLst>
                <a:gs pos="0">
                  <a:srgbClr val="16927A">
                    <a:alpha val="58824"/>
                    <a:lumMod val="68000"/>
                  </a:srgbClr>
                </a:gs>
                <a:gs pos="83000">
                  <a:schemeClr val="accent5">
                    <a:lumMod val="61000"/>
                    <a:alpha val="95000"/>
                  </a:schemeClr>
                </a:gs>
                <a:gs pos="12000">
                  <a:srgbClr val="65DD23">
                    <a:lumMod val="30000"/>
                    <a:alpha val="56000"/>
                  </a:srgbClr>
                </a:gs>
                <a:gs pos="99000">
                  <a:srgbClr val="202C27">
                    <a:lumMod val="63000"/>
                  </a:srgbClr>
                </a:gs>
              </a:gsLst>
              <a:lin ang="540000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505-4320-A531-022723CF7E2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505-4320-A531-022723CF7E23}"/>
              </c:ext>
            </c:extLst>
          </c:dPt>
          <c:dPt>
            <c:idx val="2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505-4320-A531-022723CF7E23}"/>
              </c:ext>
            </c:extLst>
          </c:dPt>
          <c:dPt>
            <c:idx val="3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505-4320-A531-022723CF7E2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505-4320-A531-022723CF7E2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505-4320-A531-022723CF7E2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505-4320-A531-022723CF7E2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D505-4320-A531-022723CF7E2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505-4320-A531-022723CF7E23}"/>
              </c:ext>
            </c:extLst>
          </c:dPt>
          <c:dLbls>
            <c:dLbl>
              <c:idx val="0"/>
              <c:layout>
                <c:manualLayout>
                  <c:x val="-4.9536705747293009E-4"/>
                  <c:y val="0.403431559228365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05-4320-A531-022723CF7E23}"/>
                </c:ext>
              </c:extLst>
            </c:dLbl>
            <c:dLbl>
              <c:idx val="1"/>
              <c:layout>
                <c:manualLayout>
                  <c:x val="1.8988235741960733E-3"/>
                  <c:y val="0.411836077831658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05-4320-A531-022723CF7E23}"/>
                </c:ext>
              </c:extLst>
            </c:dLbl>
            <c:dLbl>
              <c:idx val="2"/>
              <c:layout>
                <c:manualLayout>
                  <c:x val="3.2126231614068492E-3"/>
                  <c:y val="0.298196595635516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05-4320-A531-022723CF7E23}"/>
                </c:ext>
              </c:extLst>
            </c:dLbl>
            <c:dLbl>
              <c:idx val="3"/>
              <c:layout>
                <c:manualLayout>
                  <c:x val="-1.0184492924114842E-3"/>
                  <c:y val="0.295533300388084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05-4320-A531-022723CF7E23}"/>
                </c:ext>
              </c:extLst>
            </c:dLbl>
            <c:dLbl>
              <c:idx val="4"/>
              <c:layout>
                <c:manualLayout>
                  <c:x val="1.2553639720724508E-3"/>
                  <c:y val="0.271736904014978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05-4320-A531-022723CF7E23}"/>
                </c:ext>
              </c:extLst>
            </c:dLbl>
            <c:dLbl>
              <c:idx val="5"/>
              <c:layout>
                <c:manualLayout>
                  <c:x val="9.1077867203722077E-3"/>
                  <c:y val="0.24671042422731726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12 </a:t>
                    </a:r>
                    <a:r>
                      <a:rPr lang="en-US"/>
                      <a:t>296,1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D505-4320-A531-022723CF7E23}"/>
                </c:ext>
              </c:extLst>
            </c:dLbl>
            <c:dLbl>
              <c:idx val="6"/>
              <c:layout>
                <c:manualLayout>
                  <c:x val="6.3697036783464554E-3"/>
                  <c:y val="0.1986637260692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505-4320-A531-022723CF7E23}"/>
                </c:ext>
              </c:extLst>
            </c:dLbl>
            <c:dLbl>
              <c:idx val="7"/>
              <c:layout>
                <c:manualLayout>
                  <c:x val="6.3467155746900978E-3"/>
                  <c:y val="0.193331608064389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505-4320-A531-022723CF7E23}"/>
                </c:ext>
              </c:extLst>
            </c:dLbl>
            <c:dLbl>
              <c:idx val="8"/>
              <c:layout>
                <c:manualLayout>
                  <c:x val="4.2311437164600655E-3"/>
                  <c:y val="0.153277900740551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505-4320-A531-022723CF7E23}"/>
                </c:ext>
              </c:extLst>
            </c:dLbl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'15-21'!$B$14:$B$22</c:f>
              <c:strCache>
                <c:ptCount val="9"/>
                <c:pt idx="0">
                  <c:v>Refundacja kosztów wyposażenia lub doposażenia miejsca pracy</c:v>
                </c:pt>
                <c:pt idx="1">
                  <c:v>Dofinansowanie działalności gospodarczej</c:v>
                </c:pt>
                <c:pt idx="2">
                  <c:v>Razem 6 form (do por.)</c:v>
                </c:pt>
                <c:pt idx="3">
                  <c:v>Razem 7 podstawowych form</c:v>
                </c:pt>
                <c:pt idx="4">
                  <c:v>Roboty publiczne</c:v>
                </c:pt>
                <c:pt idx="5">
                  <c:v>Staże</c:v>
                </c:pt>
                <c:pt idx="6">
                  <c:v>Bon na zasiedlenie</c:v>
                </c:pt>
                <c:pt idx="7">
                  <c:v>Prace interwencyjne</c:v>
                </c:pt>
                <c:pt idx="8">
                  <c:v>Szkolenia</c:v>
                </c:pt>
              </c:strCache>
            </c:strRef>
          </c:cat>
          <c:val>
            <c:numRef>
              <c:f>'15-21'!$C$14:$C$22</c:f>
              <c:numCache>
                <c:formatCode>#\ ##0.0</c:formatCode>
                <c:ptCount val="9"/>
                <c:pt idx="0">
                  <c:v>53083.715462184882</c:v>
                </c:pt>
                <c:pt idx="1">
                  <c:v>29182.742895805139</c:v>
                </c:pt>
                <c:pt idx="2">
                  <c:v>17604.605179970695</c:v>
                </c:pt>
                <c:pt idx="3">
                  <c:v>17253.479125827813</c:v>
                </c:pt>
                <c:pt idx="4">
                  <c:v>17225.128580246914</c:v>
                </c:pt>
                <c:pt idx="5">
                  <c:v>13014.846298394712</c:v>
                </c:pt>
                <c:pt idx="6">
                  <c:v>11216.649255202628</c:v>
                </c:pt>
                <c:pt idx="7">
                  <c:v>8721.5238630299427</c:v>
                </c:pt>
                <c:pt idx="8">
                  <c:v>7250.3362483994897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10-D505-4320-A531-022723CF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09727488"/>
        <c:axId val="209729024"/>
        <c:axId val="0"/>
      </c:bar3DChart>
      <c:catAx>
        <c:axId val="20972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bg1">
                <a:lumMod val="85000"/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pl-PL"/>
          </a:p>
        </c:txPr>
        <c:crossAx val="209729024"/>
        <c:crosses val="autoZero"/>
        <c:auto val="0"/>
        <c:lblAlgn val="ctr"/>
        <c:lblOffset val="100"/>
        <c:noMultiLvlLbl val="0"/>
      </c:catAx>
      <c:valAx>
        <c:axId val="209729024"/>
        <c:scaling>
          <c:orientation val="minMax"/>
          <c:max val="25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75000"/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09727488"/>
        <c:crosses val="autoZero"/>
        <c:crossBetween val="between"/>
        <c:majorUnit val="5000"/>
        <c:minorUnit val="500"/>
      </c:valAx>
    </c:plotArea>
    <c:legend>
      <c:legendPos val="r"/>
      <c:layout>
        <c:manualLayout>
          <c:xMode val="edge"/>
          <c:yMode val="edge"/>
          <c:x val="6.2649657784341851E-3"/>
          <c:y val="0.86549165812377138"/>
          <c:w val="0.95790298285432274"/>
          <c:h val="0.13358884130498982"/>
        </c:manualLayout>
      </c:layout>
      <c:overlay val="0"/>
      <c:txPr>
        <a:bodyPr/>
        <a:lstStyle/>
        <a:p>
          <a:pPr>
            <a:defRPr sz="700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1"/>
    <c:view3D>
      <c:rotX val="50"/>
      <c:rotY val="179"/>
      <c:depthPercent val="21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829798050404787E-2"/>
          <c:y val="1.9344642075386588E-2"/>
          <c:w val="0.96658363228373045"/>
          <c:h val="0.9603001074385431"/>
        </c:manualLayout>
      </c:layout>
      <c:pie3DChart>
        <c:varyColors val="1"/>
        <c:ser>
          <c:idx val="0"/>
          <c:order val="0"/>
          <c:tx>
            <c:strRef>
              <c:f>'15-21'!$D$36</c:f>
              <c:strCache>
                <c:ptCount val="1"/>
                <c:pt idx="0">
                  <c:v>proc.</c:v>
                </c:pt>
              </c:strCache>
            </c:strRef>
          </c:tx>
          <c:spPr>
            <a:ln w="3175">
              <a:noFill/>
            </a:ln>
            <a:effectLst>
              <a:outerShdw blurRad="40000" dist="23000" dir="5400000" rotWithShape="0">
                <a:schemeClr val="bg2">
                  <a:lumMod val="25000"/>
                  <a:alpha val="35000"/>
                </a:scheme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dkEdge">
              <a:bevelT w="114300" h="114300" prst="convex"/>
              <a:bevelB w="57150" h="57150" prst="convex"/>
            </a:sp3d>
          </c:spPr>
          <c:explosion val="8"/>
          <c:dPt>
            <c:idx val="0"/>
            <c:bubble3D val="0"/>
            <c:spPr>
              <a:gradFill>
                <a:gsLst>
                  <a:gs pos="0">
                    <a:srgbClr val="00FF00">
                      <a:lumMod val="99000"/>
                    </a:srgbClr>
                  </a:gs>
                  <a:gs pos="73000">
                    <a:srgbClr val="00FF00">
                      <a:lumMod val="40000"/>
                      <a:lumOff val="60000"/>
                    </a:srgbClr>
                  </a:gs>
                  <a:gs pos="27000">
                    <a:srgbClr val="00FF00">
                      <a:lumMod val="60000"/>
                      <a:lumOff val="40000"/>
                    </a:srgbClr>
                  </a:gs>
                  <a:gs pos="100000">
                    <a:srgbClr val="92D050">
                      <a:lumMod val="74000"/>
                      <a:lumOff val="26000"/>
                    </a:srgbClr>
                  </a:gs>
                </a:gsLst>
                <a:lin ang="5400000" scaled="0"/>
              </a:gradFill>
              <a:ln w="3175">
                <a:noFill/>
              </a:ln>
              <a:effectLst>
                <a:outerShdw blurRad="40000" dist="23000" dir="5400000" rotWithShape="0">
                  <a:schemeClr val="bg2">
                    <a:lumMod val="25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dkEdge">
                <a:bevelT w="114300" h="114300" prst="convex"/>
                <a:bevelB w="57150" h="57150" prst="convex"/>
              </a:sp3d>
            </c:spPr>
            <c:extLst>
              <c:ext xmlns:c16="http://schemas.microsoft.com/office/drawing/2014/chart" uri="{C3380CC4-5D6E-409C-BE32-E72D297353CC}">
                <c16:uniqueId val="{00000001-E95A-40D4-8333-2CA5417FF3AC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39000">
                    <a:srgbClr val="B16462">
                      <a:lumMod val="86000"/>
                      <a:lumOff val="14000"/>
                    </a:srgbClr>
                  </a:gs>
                  <a:gs pos="90000">
                    <a:schemeClr val="accent2">
                      <a:lumMod val="44000"/>
                      <a:lumOff val="56000"/>
                    </a:schemeClr>
                  </a:gs>
                  <a:gs pos="0">
                    <a:srgbClr val="DB9C99">
                      <a:lumMod val="65000"/>
                      <a:alpha val="91000"/>
                    </a:srgbClr>
                  </a:gs>
                  <a:gs pos="100000">
                    <a:schemeClr val="accent2">
                      <a:lumMod val="17000"/>
                      <a:lumOff val="83000"/>
                    </a:schemeClr>
                  </a:gs>
                </a:gsLst>
                <a:lin ang="2700000" scaled="1"/>
                <a:tileRect/>
              </a:gradFill>
              <a:ln w="3175">
                <a:noFill/>
              </a:ln>
              <a:effectLst>
                <a:outerShdw blurRad="40000" dist="23000" dir="5400000" rotWithShape="0">
                  <a:schemeClr val="bg2">
                    <a:lumMod val="25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dkEdge">
                <a:bevelT w="114300" h="114300" prst="convex"/>
                <a:bevelB w="57150" h="57150" prst="convex"/>
              </a:sp3d>
            </c:spPr>
            <c:extLst>
              <c:ext xmlns:c16="http://schemas.microsoft.com/office/drawing/2014/chart" uri="{C3380CC4-5D6E-409C-BE32-E72D297353CC}">
                <c16:uniqueId val="{00000003-E95A-40D4-8333-2CA5417FF3AC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2404">
                    <a:schemeClr val="accent5">
                      <a:lumMod val="67000"/>
                      <a:lumOff val="33000"/>
                    </a:schemeClr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  <a:gs pos="37000">
                    <a:schemeClr val="accent5">
                      <a:alpha val="96000"/>
                      <a:lumMod val="89000"/>
                      <a:lumOff val="11000"/>
                    </a:schemeClr>
                  </a:gs>
                </a:gsLst>
                <a:lin ang="0" scaled="1"/>
                <a:tileRect/>
              </a:gradFill>
              <a:ln w="3175">
                <a:noFill/>
              </a:ln>
              <a:effectLst>
                <a:outerShdw blurRad="40000" dist="23000" dir="5400000" rotWithShape="0">
                  <a:schemeClr val="bg2">
                    <a:lumMod val="25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dkEdge">
                <a:bevelT w="114300" h="114300" prst="convex"/>
                <a:bevelB w="57150" h="57150" prst="convex"/>
              </a:sp3d>
            </c:spPr>
            <c:extLst>
              <c:ext xmlns:c16="http://schemas.microsoft.com/office/drawing/2014/chart" uri="{C3380CC4-5D6E-409C-BE32-E72D297353CC}">
                <c16:uniqueId val="{00000005-E95A-40D4-8333-2CA5417FF3AC}"/>
              </c:ext>
            </c:extLst>
          </c:dPt>
          <c:dPt>
            <c:idx val="3"/>
            <c:bubble3D val="0"/>
            <c:spPr>
              <a:gradFill flip="none" rotWithShape="1">
                <a:gsLst>
                  <a:gs pos="24000">
                    <a:srgbClr val="FFB64E"/>
                  </a:gs>
                  <a:gs pos="93000">
                    <a:srgbClr val="FFAF60"/>
                  </a:gs>
                  <a:gs pos="100000">
                    <a:srgbClr val="FFC30A"/>
                  </a:gs>
                  <a:gs pos="0">
                    <a:schemeClr val="bg1">
                      <a:lumMod val="97000"/>
                    </a:schemeClr>
                  </a:gs>
                </a:gsLst>
                <a:lin ang="2700000" scaled="1"/>
                <a:tileRect/>
              </a:gradFill>
              <a:ln w="3175">
                <a:noFill/>
              </a:ln>
              <a:effectLst>
                <a:outerShdw blurRad="40000" dist="23000" dir="5400000" rotWithShape="0">
                  <a:schemeClr val="bg2">
                    <a:lumMod val="25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dkEdge">
                <a:bevelT w="114300" h="114300" prst="convex"/>
                <a:bevelB w="57150" h="57150" prst="convex"/>
              </a:sp3d>
            </c:spPr>
            <c:extLst>
              <c:ext xmlns:c16="http://schemas.microsoft.com/office/drawing/2014/chart" uri="{C3380CC4-5D6E-409C-BE32-E72D297353CC}">
                <c16:uniqueId val="{00000007-E95A-40D4-8333-2CA5417FF3AC}"/>
              </c:ext>
            </c:extLst>
          </c:dPt>
          <c:dPt>
            <c:idx val="4"/>
            <c:bubble3D val="0"/>
            <c:spPr>
              <a:gradFill>
                <a:gsLst>
                  <a:gs pos="27900">
                    <a:srgbClr val="99CCFF">
                      <a:lumMod val="58000"/>
                      <a:lumOff val="42000"/>
                    </a:srgbClr>
                  </a:gs>
                  <a:gs pos="0">
                    <a:srgbClr val="DCE6F2"/>
                  </a:gs>
                  <a:gs pos="100000">
                    <a:srgbClr val="99CCFF">
                      <a:lumMod val="90000"/>
                    </a:srgbClr>
                  </a:gs>
                </a:gsLst>
                <a:lin ang="5400000" scaled="0"/>
              </a:gradFill>
              <a:ln w="3175">
                <a:noFill/>
              </a:ln>
              <a:effectLst>
                <a:outerShdw blurRad="40000" dist="23000" dir="5400000" rotWithShape="0">
                  <a:schemeClr val="bg2">
                    <a:lumMod val="25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dkEdge">
                <a:bevelT w="114300" h="114300" prst="convex"/>
                <a:bevelB w="57150" h="57150" prst="convex"/>
              </a:sp3d>
            </c:spPr>
            <c:extLst>
              <c:ext xmlns:c16="http://schemas.microsoft.com/office/drawing/2014/chart" uri="{C3380CC4-5D6E-409C-BE32-E72D297353CC}">
                <c16:uniqueId val="{00000009-E95A-40D4-8333-2CA5417FF3AC}"/>
              </c:ext>
            </c:extLst>
          </c:dPt>
          <c:dPt>
            <c:idx val="5"/>
            <c:bubble3D val="0"/>
            <c:explosion val="17"/>
            <c:spPr>
              <a:gradFill>
                <a:gsLst>
                  <a:gs pos="45000">
                    <a:srgbClr val="0000FF">
                      <a:lumMod val="72000"/>
                      <a:lumOff val="28000"/>
                    </a:srgbClr>
                  </a:gs>
                  <a:gs pos="0">
                    <a:schemeClr val="bg1"/>
                  </a:gs>
                  <a:gs pos="100000">
                    <a:srgbClr val="0000FF">
                      <a:lumMod val="87000"/>
                      <a:lumOff val="13000"/>
                    </a:srgbClr>
                  </a:gs>
                </a:gsLst>
                <a:lin ang="5400000" scaled="0"/>
              </a:gradFill>
              <a:ln w="6350">
                <a:solidFill>
                  <a:schemeClr val="bg1"/>
                </a:solidFill>
              </a:ln>
              <a:effectLst>
                <a:outerShdw blurRad="40000" dist="23000" dir="5400000" rotWithShape="0">
                  <a:schemeClr val="bg2">
                    <a:lumMod val="25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dkEdge">
                <a:bevelT w="114300" h="114300" prst="convex"/>
                <a:bevelB w="57150" h="57150" prst="convex"/>
              </a:sp3d>
            </c:spPr>
            <c:extLst>
              <c:ext xmlns:c16="http://schemas.microsoft.com/office/drawing/2014/chart" uri="{C3380CC4-5D6E-409C-BE32-E72D297353CC}">
                <c16:uniqueId val="{0000000B-E95A-40D4-8333-2CA5417FF3AC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2700">
                <a:solidFill>
                  <a:schemeClr val="bg1"/>
                </a:solidFill>
              </a:ln>
              <a:effectLst>
                <a:outerShdw blurRad="40000" dist="23000" dir="5400000" rotWithShape="0">
                  <a:schemeClr val="bg2">
                    <a:lumMod val="25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dkEdge">
                <a:bevelT w="114300" h="114300" prst="convex"/>
                <a:bevelB w="57150" h="57150" prst="convex"/>
              </a:sp3d>
            </c:spPr>
            <c:extLst>
              <c:ext xmlns:c16="http://schemas.microsoft.com/office/drawing/2014/chart" uri="{C3380CC4-5D6E-409C-BE32-E72D297353CC}">
                <c16:uniqueId val="{0000000E-E95A-40D4-8333-2CA5417FF3AC}"/>
              </c:ext>
            </c:extLst>
          </c:dPt>
          <c:dLbls>
            <c:dLbl>
              <c:idx val="0"/>
              <c:layout>
                <c:manualLayout>
                  <c:x val="0.21892218183385467"/>
                  <c:y val="-0.16354539230158821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staże</a:t>
                    </a:r>
                  </a:p>
                  <a:p>
                    <a:r>
                      <a:rPr lang="en-US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29,9 proc.</a:t>
                    </a:r>
                    <a:endParaRPr lang="en-US" sz="100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95A-40D4-8333-2CA5417FF3AC}"/>
                </c:ext>
              </c:extLst>
            </c:dLbl>
            <c:dLbl>
              <c:idx val="1"/>
              <c:layout>
                <c:manualLayout>
                  <c:x val="0.16714442619231246"/>
                  <c:y val="0.11679775054914113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dofinansowanie</a:t>
                    </a:r>
                  </a:p>
                  <a:p>
                    <a:r>
                      <a:rPr lang="en-US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działalności</a:t>
                    </a:r>
                  </a:p>
                  <a:p>
                    <a:r>
                      <a:rPr lang="en-US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gospodarczej</a:t>
                    </a:r>
                  </a:p>
                  <a:p>
                    <a:r>
                      <a:rPr lang="en-US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23,4 proc.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95A-40D4-8333-2CA5417FF3AC}"/>
                </c:ext>
              </c:extLst>
            </c:dLbl>
            <c:dLbl>
              <c:idx val="2"/>
              <c:layout>
                <c:manualLayout>
                  <c:x val="-0.15375654762378832"/>
                  <c:y val="9.6300362633131742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refundacja</a:t>
                    </a:r>
                  </a:p>
                  <a:p>
                    <a:r>
                      <a:rPr lang="en-US" sz="800"/>
                      <a:t>kosztów</a:t>
                    </a:r>
                  </a:p>
                  <a:p>
                    <a:r>
                      <a:rPr lang="en-US" sz="800"/>
                      <a:t>22,9 proc.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95A-40D4-8333-2CA5417FF3AC}"/>
                </c:ext>
              </c:extLst>
            </c:dLbl>
            <c:dLbl>
              <c:idx val="3"/>
              <c:layout>
                <c:manualLayout>
                  <c:x val="-0.15204065455541527"/>
                  <c:y val="-0.1487376076826242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prace</a:t>
                    </a:r>
                  </a:p>
                  <a:p>
                    <a:r>
                      <a:rPr lang="en-US" sz="800"/>
                      <a:t>interwencyjne</a:t>
                    </a:r>
                  </a:p>
                  <a:p>
                    <a:r>
                      <a:rPr lang="en-US" sz="800"/>
                      <a:t>10,6 proc.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95A-40D4-8333-2CA5417FF3AC}"/>
                </c:ext>
              </c:extLst>
            </c:dLbl>
            <c:dLbl>
              <c:idx val="4"/>
              <c:layout>
                <c:manualLayout>
                  <c:x val="-0.11027939805216856"/>
                  <c:y val="-0.24228350403845028"/>
                </c:manualLayout>
              </c:layout>
              <c:tx>
                <c:rich>
                  <a:bodyPr/>
                  <a:lstStyle/>
                  <a:p>
                    <a:pPr>
                      <a:defRPr sz="800" b="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sz="800" b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roboty</a:t>
                    </a:r>
                  </a:p>
                  <a:p>
                    <a:pPr>
                      <a:defRPr sz="800" b="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sz="800" b="0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publiczne</a:t>
                    </a:r>
                    <a:endParaRPr lang="en-US" sz="800" b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pPr>
                      <a:defRPr sz="800" b="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sz="800" b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11,1 proc.</a:t>
                    </a:r>
                  </a:p>
                </c:rich>
              </c:tx>
              <c:numFmt formatCode="#,##0.0" sourceLinked="0"/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E95A-40D4-8333-2CA5417FF3AC}"/>
                </c:ext>
              </c:extLst>
            </c:dLbl>
            <c:dLbl>
              <c:idx val="5"/>
              <c:layout>
                <c:manualLayout>
                  <c:x val="0.28346918535168708"/>
                  <c:y val="-3.165396857179681E-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szkolenia</a:t>
                    </a:r>
                  </a:p>
                  <a:p>
                    <a:r>
                      <a:rPr lang="en-US" sz="800"/>
                      <a:t>2,0 proc.</a:t>
                    </a:r>
                    <a:endParaRPr lang="en-US" sz="75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E95A-40D4-8333-2CA5417FF3AC}"/>
                </c:ext>
              </c:extLst>
            </c:dLbl>
            <c:dLbl>
              <c:idx val="6"/>
              <c:layout>
                <c:manualLayout>
                  <c:x val="-0.23202851011939085"/>
                  <c:y val="-1.02344290281737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szkolenia</a:t>
                    </a:r>
                  </a:p>
                  <a:p>
                    <a:fld id="{50252684-227D-4311-A8E5-4912ADE24245}" type="VALUE">
                      <a:rPr lang="en-US"/>
                      <a:pPr/>
                      <a:t>[WARTOŚĆ]</a:t>
                    </a:fld>
                    <a:r>
                      <a:rPr lang="en-US"/>
                      <a:t> proc.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925643037424259"/>
                      <c:h val="0.1116255683659458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E95A-40D4-8333-2CA5417FF3A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('15-21'!$B$39:$B$43,'15-21'!$B$45)</c:f>
              <c:strCache>
                <c:ptCount val="6"/>
                <c:pt idx="0">
                  <c:v>Staże</c:v>
                </c:pt>
                <c:pt idx="1">
                  <c:v>Dofinansowanie działalności gospodarczej</c:v>
                </c:pt>
                <c:pt idx="2">
                  <c:v>Refundacja kosztów wyposażenia lub doposażenia miejsca pracy</c:v>
                </c:pt>
                <c:pt idx="3">
                  <c:v>Roboty publiczne</c:v>
                </c:pt>
                <c:pt idx="4">
                  <c:v>Prace interwencyjne</c:v>
                </c:pt>
                <c:pt idx="5">
                  <c:v>Szkolenia</c:v>
                </c:pt>
              </c:strCache>
            </c:strRef>
          </c:cat>
          <c:val>
            <c:numRef>
              <c:f>('15-21'!$D$39:$D$43,'15-21'!$D$45)</c:f>
              <c:numCache>
                <c:formatCode>0.0</c:formatCode>
                <c:ptCount val="6"/>
                <c:pt idx="0">
                  <c:v>29.925630290896244</c:v>
                </c:pt>
                <c:pt idx="1">
                  <c:v>23.412557352180347</c:v>
                </c:pt>
                <c:pt idx="2">
                  <c:v>22.859426269187843</c:v>
                </c:pt>
                <c:pt idx="3">
                  <c:v>11.107778843546281</c:v>
                </c:pt>
                <c:pt idx="4">
                  <c:v>10.645492707203291</c:v>
                </c:pt>
                <c:pt idx="5">
                  <c:v>2.0491145369859924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5A-40D4-8333-2CA5417FF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 w="3175">
      <a:noFill/>
    </a:ln>
    <a:effectLst>
      <a:innerShdw blurRad="63500" dist="50800" dir="11340000">
        <a:schemeClr val="accent4">
          <a:lumMod val="60000"/>
          <a:lumOff val="40000"/>
          <a:alpha val="50000"/>
        </a:schemeClr>
      </a:innerShdw>
    </a:effectLst>
    <a:scene3d>
      <a:camera prst="orthographicFront"/>
      <a:lightRig rig="threePt" dir="t"/>
    </a:scene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F9F9F9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0793167444458455E-2"/>
          <c:y val="4.3657407407407409E-2"/>
          <c:w val="0.90318852591938592"/>
          <c:h val="0.828177837526406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EKiZ!$H$2</c:f>
              <c:strCache>
                <c:ptCount val="1"/>
                <c:pt idx="0">
                  <c:v>wskaźnik efektywności zatrudnieniowej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60000"/>
                    <a:lumOff val="40000"/>
                  </a:schemeClr>
                </a:gs>
                <a:gs pos="83000">
                  <a:schemeClr val="accent6">
                    <a:lumMod val="60000"/>
                    <a:lumOff val="40000"/>
                  </a:schemeClr>
                </a:gs>
                <a:gs pos="12000">
                  <a:schemeClr val="accent6">
                    <a:lumMod val="60000"/>
                    <a:lumOff val="40000"/>
                  </a:schemeClr>
                </a:gs>
                <a:gs pos="99000">
                  <a:schemeClr val="accent6">
                    <a:lumMod val="60000"/>
                    <a:lumOff val="40000"/>
                  </a:schemeClr>
                </a:gs>
              </a:gsLst>
              <a:lin ang="540000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7.8214426956143797E-4"/>
                  <c:y val="0.1488907915943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0B-4F3B-AD5D-FC663E827B9F}"/>
                </c:ext>
              </c:extLst>
            </c:dLbl>
            <c:dLbl>
              <c:idx val="1"/>
              <c:layout>
                <c:manualLayout>
                  <c:x val="4.5352620786960479E-3"/>
                  <c:y val="0.15976785271510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0B-4F3B-AD5D-FC663E827B9F}"/>
                </c:ext>
              </c:extLst>
            </c:dLbl>
            <c:dLbl>
              <c:idx val="2"/>
              <c:layout>
                <c:manualLayout>
                  <c:x val="1.2948853315995765E-3"/>
                  <c:y val="0.137350139344206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0B-4F3B-AD5D-FC663E827B9F}"/>
                </c:ext>
              </c:extLst>
            </c:dLbl>
            <c:dLbl>
              <c:idx val="3"/>
              <c:layout>
                <c:manualLayout>
                  <c:x val="1.0258442415056923E-3"/>
                  <c:y val="0.162359147717684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0B-4F3B-AD5D-FC663E827B9F}"/>
                </c:ext>
              </c:extLst>
            </c:dLbl>
            <c:dLbl>
              <c:idx val="4"/>
              <c:layout>
                <c:manualLayout>
                  <c:x val="9.3140824569483555E-3"/>
                  <c:y val="0.151302195958877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0B-4F3B-AD5D-FC663E827B9F}"/>
                </c:ext>
              </c:extLst>
            </c:dLbl>
            <c:dLbl>
              <c:idx val="5"/>
              <c:layout>
                <c:manualLayout>
                  <c:x val="3.6310540320853659E-3"/>
                  <c:y val="0.13284695464870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0B-4F3B-AD5D-FC663E827B9F}"/>
                </c:ext>
              </c:extLst>
            </c:dLbl>
            <c:dLbl>
              <c:idx val="6"/>
              <c:layout>
                <c:manualLayout>
                  <c:x val="1.0893162096256098E-2"/>
                  <c:y val="0.15831329579810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0B-4F3B-AD5D-FC663E827B9F}"/>
                </c:ext>
              </c:extLst>
            </c:dLbl>
            <c:dLbl>
              <c:idx val="7"/>
              <c:layout>
                <c:manualLayout>
                  <c:x val="7.2621080641705983E-3"/>
                  <c:y val="0.147856304387273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41-404B-8D56-A9B812FC77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EKiZ!$H$3:$H$10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EKiZ!$I$3:$I$10</c:f>
              <c:numCache>
                <c:formatCode>General</c:formatCode>
                <c:ptCount val="8"/>
                <c:pt idx="0">
                  <c:v>74.3</c:v>
                </c:pt>
                <c:pt idx="1">
                  <c:v>80.599999999999994</c:v>
                </c:pt>
                <c:pt idx="2">
                  <c:v>86.1</c:v>
                </c:pt>
                <c:pt idx="3">
                  <c:v>88.2</c:v>
                </c:pt>
                <c:pt idx="4">
                  <c:v>89.2</c:v>
                </c:pt>
                <c:pt idx="5">
                  <c:v>88.5</c:v>
                </c:pt>
                <c:pt idx="6">
                  <c:v>89.2</c:v>
                </c:pt>
                <c:pt idx="7">
                  <c:v>86.6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7-BC0B-4F3B-AD5D-FC663E827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09072512"/>
        <c:axId val="209074048"/>
        <c:axId val="0"/>
      </c:bar3DChart>
      <c:catAx>
        <c:axId val="20907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09074048"/>
        <c:crosses val="autoZero"/>
        <c:auto val="0"/>
        <c:lblAlgn val="ctr"/>
        <c:lblOffset val="100"/>
        <c:noMultiLvlLbl val="0"/>
      </c:catAx>
      <c:valAx>
        <c:axId val="209074048"/>
        <c:scaling>
          <c:orientation val="minMax"/>
          <c:max val="90"/>
          <c:min val="65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09072512"/>
        <c:crosses val="autoZero"/>
        <c:crossBetween val="between"/>
        <c:majorUnit val="2"/>
        <c:minorUnit val="1"/>
      </c:valAx>
    </c:plotArea>
    <c:legend>
      <c:legendPos val="r"/>
      <c:legendEntry>
        <c:idx val="0"/>
        <c:txPr>
          <a:bodyPr/>
          <a:lstStyle/>
          <a:p>
            <a:pPr>
              <a:defRPr sz="9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</c:legendEntry>
      <c:layout>
        <c:manualLayout>
          <c:xMode val="edge"/>
          <c:yMode val="edge"/>
          <c:x val="5.8895124580892015E-2"/>
          <c:y val="0.892357251850875"/>
          <c:w val="0.73827378720517078"/>
          <c:h val="5.6102284244172441E-2"/>
        </c:manualLayout>
      </c:layout>
      <c:overlay val="0"/>
      <c:txPr>
        <a:bodyPr/>
        <a:lstStyle/>
        <a:p>
          <a:pPr>
            <a:defRPr sz="7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F9F9F9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0793167444458455E-2"/>
          <c:y val="4.3657407407407409E-2"/>
          <c:w val="0.90318852591938592"/>
          <c:h val="0.852615743529095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EKiZ!$H$17</c:f>
              <c:strCache>
                <c:ptCount val="1"/>
                <c:pt idx="0">
                  <c:v>wskaźnik efektywności kosztowej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60000"/>
                    <a:lumOff val="40000"/>
                  </a:schemeClr>
                </a:gs>
                <a:gs pos="83000">
                  <a:schemeClr val="accent6">
                    <a:lumMod val="60000"/>
                    <a:lumOff val="40000"/>
                  </a:schemeClr>
                </a:gs>
                <a:gs pos="12000">
                  <a:schemeClr val="accent6">
                    <a:lumMod val="60000"/>
                    <a:lumOff val="40000"/>
                  </a:schemeClr>
                </a:gs>
                <a:gs pos="99000">
                  <a:schemeClr val="accent6">
                    <a:lumMod val="60000"/>
                    <a:lumOff val="40000"/>
                  </a:schemeClr>
                </a:gs>
              </a:gsLst>
              <a:lin ang="540000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6.1743287904875536E-3"/>
                  <c:y val="0.234881533749825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5B-4F50-86E4-85D5F1AD974E}"/>
                </c:ext>
              </c:extLst>
            </c:dLbl>
            <c:dLbl>
              <c:idx val="1"/>
              <c:layout>
                <c:manualLayout>
                  <c:x val="1.0570055644439906E-3"/>
                  <c:y val="0.230812412854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5B-4F50-86E4-85D5F1AD974E}"/>
                </c:ext>
              </c:extLst>
            </c:dLbl>
            <c:dLbl>
              <c:idx val="2"/>
              <c:layout>
                <c:manualLayout>
                  <c:x val="1.4475843539022608E-3"/>
                  <c:y val="0.238022026938505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5B-4F50-86E4-85D5F1AD974E}"/>
                </c:ext>
              </c:extLst>
            </c:dLbl>
            <c:dLbl>
              <c:idx val="3"/>
              <c:layout>
                <c:manualLayout>
                  <c:x val="4.8099105456546991E-3"/>
                  <c:y val="0.232775221097599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5B-4F50-86E4-85D5F1AD974E}"/>
                </c:ext>
              </c:extLst>
            </c:dLbl>
            <c:dLbl>
              <c:idx val="4"/>
              <c:layout>
                <c:manualLayout>
                  <c:x val="1.9899481543024372E-3"/>
                  <c:y val="0.254643237364594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5B-4F50-86E4-85D5F1AD974E}"/>
                </c:ext>
              </c:extLst>
            </c:dLbl>
            <c:dLbl>
              <c:idx val="5"/>
              <c:layout>
                <c:manualLayout>
                  <c:x val="3.5511654097056221E-3"/>
                  <c:y val="0.251440282201618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5B-4F50-86E4-85D5F1AD974E}"/>
                </c:ext>
              </c:extLst>
            </c:dLbl>
            <c:dLbl>
              <c:idx val="6"/>
              <c:layout>
                <c:manualLayout>
                  <c:x val="6.9810126009005368E-3"/>
                  <c:y val="0.226372868732207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5B-4F50-86E4-85D5F1AD974E}"/>
                </c:ext>
              </c:extLst>
            </c:dLbl>
            <c:dLbl>
              <c:idx val="7"/>
              <c:layout>
                <c:manualLayout>
                  <c:x val="6.9716804302460038E-3"/>
                  <c:y val="0.155869903567408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27-4CB4-B7AE-DF3C2CAB97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EKiZ!$H$18:$H$25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EKiZ!$I$18:$I$25</c:f>
              <c:numCache>
                <c:formatCode>#\ ##0.0</c:formatCode>
                <c:ptCount val="8"/>
                <c:pt idx="0">
                  <c:v>13907.527365422102</c:v>
                </c:pt>
                <c:pt idx="1">
                  <c:v>11609.894349217486</c:v>
                </c:pt>
                <c:pt idx="2">
                  <c:v>11688.893583063418</c:v>
                </c:pt>
                <c:pt idx="3">
                  <c:v>10588.083324823854</c:v>
                </c:pt>
                <c:pt idx="4">
                  <c:v>10436.9</c:v>
                </c:pt>
                <c:pt idx="5">
                  <c:v>11096.9</c:v>
                </c:pt>
                <c:pt idx="6">
                  <c:v>15695.294915130766</c:v>
                </c:pt>
                <c:pt idx="7">
                  <c:v>17604.605179970695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7-2E5B-4F50-86E4-85D5F1AD9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09103488"/>
        <c:axId val="209105280"/>
        <c:axId val="0"/>
      </c:bar3DChart>
      <c:catAx>
        <c:axId val="20910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09105280"/>
        <c:crosses val="autoZero"/>
        <c:auto val="0"/>
        <c:lblAlgn val="ctr"/>
        <c:lblOffset val="100"/>
        <c:noMultiLvlLbl val="0"/>
      </c:catAx>
      <c:valAx>
        <c:axId val="2091052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09103488"/>
        <c:crosses val="autoZero"/>
        <c:crossBetween val="between"/>
        <c:majorUnit val="1000"/>
        <c:minorUnit val="500"/>
      </c:valAx>
    </c:plotArea>
    <c:legend>
      <c:legendPos val="r"/>
      <c:layout>
        <c:manualLayout>
          <c:xMode val="edge"/>
          <c:yMode val="edge"/>
          <c:x val="3.9190586132340312E-2"/>
          <c:y val="0.90045063547152282"/>
          <c:w val="0.62314133146618811"/>
          <c:h val="5.6102284244172441E-2"/>
        </c:manualLayout>
      </c:layout>
      <c:overlay val="0"/>
      <c:txPr>
        <a:bodyPr/>
        <a:lstStyle/>
        <a:p>
          <a:pPr>
            <a:defRPr sz="9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F9F9F9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0793167444458455E-2"/>
          <c:y val="4.3657407407407409E-2"/>
          <c:w val="0.90318852591938592"/>
          <c:h val="0.828177837526406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EKiZ!$K$2</c:f>
              <c:strCache>
                <c:ptCount val="1"/>
                <c:pt idx="0">
                  <c:v>wskaźnik efektywności zatrudnieniowej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83000">
                  <a:schemeClr val="tx2">
                    <a:lumMod val="75000"/>
                  </a:schemeClr>
                </a:gs>
                <a:gs pos="12000">
                  <a:schemeClr val="tx2">
                    <a:lumMod val="60000"/>
                    <a:lumOff val="40000"/>
                  </a:schemeClr>
                </a:gs>
                <a:gs pos="99000">
                  <a:srgbClr val="141C19"/>
                </a:gs>
              </a:gsLst>
              <a:lin ang="540000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7.8218935999965766E-4"/>
                  <c:y val="0.190269888677708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BA-4BE7-BEC9-C62E8C66C543}"/>
                </c:ext>
              </c:extLst>
            </c:dLbl>
            <c:dLbl>
              <c:idx val="1"/>
              <c:layout>
                <c:manualLayout>
                  <c:x val="4.5353860811942221E-3"/>
                  <c:y val="0.20804398588107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BA-4BE7-BEC9-C62E8C66C543}"/>
                </c:ext>
              </c:extLst>
            </c:dLbl>
            <c:dLbl>
              <c:idx val="2"/>
              <c:layout>
                <c:manualLayout>
                  <c:x val="1.3030784086354619E-3"/>
                  <c:y val="0.200897094759706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BA-4BE7-BEC9-C62E8C66C543}"/>
                </c:ext>
              </c:extLst>
            </c:dLbl>
            <c:dLbl>
              <c:idx val="3"/>
              <c:layout>
                <c:manualLayout>
                  <c:x val="8.2880535865083541E-3"/>
                  <c:y val="0.16744940181006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BA-4BE7-BEC9-C62E8C66C543}"/>
                </c:ext>
              </c:extLst>
            </c:dLbl>
            <c:dLbl>
              <c:idx val="4"/>
              <c:layout>
                <c:manualLayout>
                  <c:x val="2.0846972439376855E-3"/>
                  <c:y val="0.144077654086342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BA-4BE7-BEC9-C62E8C66C543}"/>
                </c:ext>
              </c:extLst>
            </c:dLbl>
            <c:dLbl>
              <c:idx val="5"/>
              <c:layout>
                <c:manualLayout>
                  <c:x val="1.0909573261789403E-2"/>
                  <c:y val="0.17356991582948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BA-4BE7-BEC9-C62E8C66C543}"/>
                </c:ext>
              </c:extLst>
            </c:dLbl>
            <c:dLbl>
              <c:idx val="6"/>
              <c:layout>
                <c:manualLayout>
                  <c:x val="1.0893162096256098E-2"/>
                  <c:y val="0.178675007245482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BA-4BE7-BEC9-C62E8C66C543}"/>
                </c:ext>
              </c:extLst>
            </c:dLbl>
            <c:dLbl>
              <c:idx val="7"/>
              <c:layout>
                <c:manualLayout>
                  <c:x val="1.0885040699805594E-2"/>
                  <c:y val="0.18073635623133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5F-4492-A469-14F73D8CA1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EKiZ!$K$3:$K$10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EKiZ!$L$3:$L$10</c:f>
              <c:numCache>
                <c:formatCode>General</c:formatCode>
                <c:ptCount val="8"/>
                <c:pt idx="0">
                  <c:v>74.5</c:v>
                </c:pt>
                <c:pt idx="1">
                  <c:v>80.8</c:v>
                </c:pt>
                <c:pt idx="2">
                  <c:v>86.4</c:v>
                </c:pt>
                <c:pt idx="3">
                  <c:v>88.4</c:v>
                </c:pt>
                <c:pt idx="4">
                  <c:v>89.4</c:v>
                </c:pt>
                <c:pt idx="5">
                  <c:v>88.8</c:v>
                </c:pt>
                <c:pt idx="6" formatCode="0.0">
                  <c:v>89.5</c:v>
                </c:pt>
                <c:pt idx="7">
                  <c:v>86.9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7-09BA-4BE7-BEC9-C62E8C66C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09150720"/>
        <c:axId val="209152256"/>
        <c:axId val="0"/>
      </c:bar3DChart>
      <c:catAx>
        <c:axId val="20915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09152256"/>
        <c:crosses val="autoZero"/>
        <c:auto val="0"/>
        <c:lblAlgn val="ctr"/>
        <c:lblOffset val="100"/>
        <c:noMultiLvlLbl val="0"/>
      </c:catAx>
      <c:valAx>
        <c:axId val="209152256"/>
        <c:scaling>
          <c:orientation val="minMax"/>
          <c:max val="90"/>
          <c:min val="65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09150720"/>
        <c:crosses val="autoZero"/>
        <c:crossBetween val="between"/>
        <c:majorUnit val="2"/>
        <c:minorUnit val="1"/>
      </c:valAx>
    </c:plotArea>
    <c:legend>
      <c:legendPos val="r"/>
      <c:legendEntry>
        <c:idx val="0"/>
        <c:txPr>
          <a:bodyPr/>
          <a:lstStyle/>
          <a:p>
            <a:pPr>
              <a:defRPr sz="9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</c:legendEntry>
      <c:layout>
        <c:manualLayout>
          <c:xMode val="edge"/>
          <c:yMode val="edge"/>
          <c:x val="6.2879808988331343E-2"/>
          <c:y val="0.92025957100190048"/>
          <c:w val="0.73827378720517078"/>
          <c:h val="5.6102284244172441E-2"/>
        </c:manualLayout>
      </c:layout>
      <c:overlay val="0"/>
      <c:txPr>
        <a:bodyPr/>
        <a:lstStyle/>
        <a:p>
          <a:pPr>
            <a:defRPr sz="7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420155</xdr:colOff>
      <xdr:row>14</xdr:row>
      <xdr:rowOff>108959</xdr:rowOff>
    </xdr:from>
    <xdr:to>
      <xdr:col>7</xdr:col>
      <xdr:colOff>463125</xdr:colOff>
      <xdr:row>31</xdr:row>
      <xdr:rowOff>19656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309215</xdr:colOff>
      <xdr:row>0</xdr:row>
      <xdr:rowOff>64377</xdr:rowOff>
    </xdr:from>
    <xdr:to>
      <xdr:col>7</xdr:col>
      <xdr:colOff>396394</xdr:colOff>
      <xdr:row>15</xdr:row>
      <xdr:rowOff>129338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825499</xdr:colOff>
      <xdr:row>11</xdr:row>
      <xdr:rowOff>286712</xdr:rowOff>
    </xdr:from>
    <xdr:to>
      <xdr:col>11</xdr:col>
      <xdr:colOff>618368</xdr:colOff>
      <xdr:row>34</xdr:row>
      <xdr:rowOff>114905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848676</xdr:colOff>
      <xdr:row>32</xdr:row>
      <xdr:rowOff>20514</xdr:rowOff>
    </xdr:from>
    <xdr:to>
      <xdr:col>11</xdr:col>
      <xdr:colOff>765967</xdr:colOff>
      <xdr:row>51</xdr:row>
      <xdr:rowOff>13230</xdr:rowOff>
    </xdr:to>
    <xdr:graphicFrame macro="">
      <xdr:nvGraphicFramePr>
        <xdr:cNvPr id="11" name="Wykres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280286</xdr:colOff>
      <xdr:row>30</xdr:row>
      <xdr:rowOff>145899</xdr:rowOff>
    </xdr:from>
    <xdr:to>
      <xdr:col>7</xdr:col>
      <xdr:colOff>1235141</xdr:colOff>
      <xdr:row>52</xdr:row>
      <xdr:rowOff>45770</xdr:rowOff>
    </xdr:to>
    <xdr:graphicFrame macro="">
      <xdr:nvGraphicFramePr>
        <xdr:cNvPr id="13" name="Wykres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542925</xdr:colOff>
      <xdr:row>12</xdr:row>
      <xdr:rowOff>38100</xdr:rowOff>
    </xdr:from>
    <xdr:to>
      <xdr:col>18</xdr:col>
      <xdr:colOff>190499</xdr:colOff>
      <xdr:row>28</xdr:row>
      <xdr:rowOff>54768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2</xdr:row>
      <xdr:rowOff>152400</xdr:rowOff>
    </xdr:from>
    <xdr:to>
      <xdr:col>24</xdr:col>
      <xdr:colOff>228600</xdr:colOff>
      <xdr:row>21</xdr:row>
      <xdr:rowOff>158750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238126</xdr:colOff>
      <xdr:row>2</xdr:row>
      <xdr:rowOff>47624</xdr:rowOff>
    </xdr:from>
    <xdr:to>
      <xdr:col>24</xdr:col>
      <xdr:colOff>361951</xdr:colOff>
      <xdr:row>20</xdr:row>
      <xdr:rowOff>179917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2</xdr:row>
      <xdr:rowOff>28575</xdr:rowOff>
    </xdr:from>
    <xdr:to>
      <xdr:col>24</xdr:col>
      <xdr:colOff>304800</xdr:colOff>
      <xdr:row>18</xdr:row>
      <xdr:rowOff>52917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2</xdr:row>
      <xdr:rowOff>28576</xdr:rowOff>
    </xdr:from>
    <xdr:to>
      <xdr:col>24</xdr:col>
      <xdr:colOff>76200</xdr:colOff>
      <xdr:row>20</xdr:row>
      <xdr:rowOff>116417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2</xdr:row>
      <xdr:rowOff>28577</xdr:rowOff>
    </xdr:from>
    <xdr:to>
      <xdr:col>24</xdr:col>
      <xdr:colOff>76200</xdr:colOff>
      <xdr:row>20</xdr:row>
      <xdr:rowOff>31751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108237</xdr:colOff>
      <xdr:row>1</xdr:row>
      <xdr:rowOff>38246</xdr:rowOff>
    </xdr:from>
    <xdr:to>
      <xdr:col>10</xdr:col>
      <xdr:colOff>103910</xdr:colOff>
      <xdr:row>19</xdr:row>
      <xdr:rowOff>8659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104776</xdr:colOff>
      <xdr:row>2</xdr:row>
      <xdr:rowOff>66675</xdr:rowOff>
    </xdr:from>
    <xdr:to>
      <xdr:col>25</xdr:col>
      <xdr:colOff>95251</xdr:colOff>
      <xdr:row>21</xdr:row>
      <xdr:rowOff>95250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80531</xdr:colOff>
      <xdr:row>2</xdr:row>
      <xdr:rowOff>87457</xdr:rowOff>
    </xdr:from>
    <xdr:to>
      <xdr:col>25</xdr:col>
      <xdr:colOff>331644</xdr:colOff>
      <xdr:row>23</xdr:row>
      <xdr:rowOff>58882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1</xdr:row>
      <xdr:rowOff>142875</xdr:rowOff>
    </xdr:from>
    <xdr:to>
      <xdr:col>24</xdr:col>
      <xdr:colOff>276225</xdr:colOff>
      <xdr:row>20</xdr:row>
      <xdr:rowOff>84667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2</xdr:row>
      <xdr:rowOff>171451</xdr:rowOff>
    </xdr:from>
    <xdr:to>
      <xdr:col>25</xdr:col>
      <xdr:colOff>76200</xdr:colOff>
      <xdr:row>22</xdr:row>
      <xdr:rowOff>63500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0.05342</cdr:x>
      <cdr:y>0.23916</cdr:y>
    </cdr:from>
    <cdr:to>
      <cdr:x>1</cdr:x>
      <cdr:y>0.24386</cdr:y>
    </cdr:to>
    <cdr:cxnSp macro="">
      <cdr:nvCxnSpPr>
        <cdr:cNvPr id="2" name="Łącznik prostoliniowy 1">
          <a:extLst xmlns:a="http://schemas.openxmlformats.org/drawingml/2006/main">
            <a:ext uri="{FF2B5EF4-FFF2-40B4-BE49-F238E27FC236}">
              <a16:creationId xmlns:a16="http://schemas.microsoft.com/office/drawing/2014/main" id="{11A31905-F9C4-4F23-9B8D-3091097BBD3E}"/>
            </a:ext>
          </a:extLst>
        </cdr:cNvPr>
        <cdr:cNvCxnSpPr/>
      </cdr:nvCxnSpPr>
      <cdr:spPr>
        <a:xfrm xmlns:a="http://schemas.openxmlformats.org/drawingml/2006/main">
          <a:off x="271954" y="635722"/>
          <a:ext cx="4819266" cy="1248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2">
              <a:lumMod val="75000"/>
            </a:schemeClr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228600</xdr:colOff>
      <xdr:row>2</xdr:row>
      <xdr:rowOff>123826</xdr:rowOff>
    </xdr:from>
    <xdr:to>
      <xdr:col>25</xdr:col>
      <xdr:colOff>133350</xdr:colOff>
      <xdr:row>21</xdr:row>
      <xdr:rowOff>74084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285750</xdr:colOff>
      <xdr:row>2</xdr:row>
      <xdr:rowOff>46567</xdr:rowOff>
    </xdr:from>
    <xdr:to>
      <xdr:col>24</xdr:col>
      <xdr:colOff>333375</xdr:colOff>
      <xdr:row>21</xdr:row>
      <xdr:rowOff>10584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381000</xdr:colOff>
      <xdr:row>1</xdr:row>
      <xdr:rowOff>152400</xdr:rowOff>
    </xdr:from>
    <xdr:to>
      <xdr:col>24</xdr:col>
      <xdr:colOff>428625</xdr:colOff>
      <xdr:row>19</xdr:row>
      <xdr:rowOff>42333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159543</xdr:colOff>
      <xdr:row>13</xdr:row>
      <xdr:rowOff>59531</xdr:rowOff>
    </xdr:from>
    <xdr:to>
      <xdr:col>13</xdr:col>
      <xdr:colOff>119062</xdr:colOff>
      <xdr:row>27</xdr:row>
      <xdr:rowOff>166686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DE5AA475-2797-4430-9D44-BDACAEAD8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</xdr:row>
      <xdr:rowOff>83344</xdr:rowOff>
    </xdr:from>
    <xdr:to>
      <xdr:col>6</xdr:col>
      <xdr:colOff>309561</xdr:colOff>
      <xdr:row>26</xdr:row>
      <xdr:rowOff>71438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914C621-F495-4C75-87AA-5225D9000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619124</xdr:colOff>
      <xdr:row>2</xdr:row>
      <xdr:rowOff>178594</xdr:rowOff>
    </xdr:from>
    <xdr:to>
      <xdr:col>15</xdr:col>
      <xdr:colOff>404813</xdr:colOff>
      <xdr:row>17</xdr:row>
      <xdr:rowOff>178594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C40762F3-F5AB-4399-9ED7-FE63515E4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576263</xdr:colOff>
      <xdr:row>17</xdr:row>
      <xdr:rowOff>130969</xdr:rowOff>
    </xdr:from>
    <xdr:to>
      <xdr:col>15</xdr:col>
      <xdr:colOff>285751</xdr:colOff>
      <xdr:row>31</xdr:row>
      <xdr:rowOff>123826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64C8DA13-4C83-4A92-B8F8-652005A9F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18</xdr:row>
      <xdr:rowOff>47625</xdr:rowOff>
    </xdr:from>
    <xdr:to>
      <xdr:col>8</xdr:col>
      <xdr:colOff>187268</xdr:colOff>
      <xdr:row>33</xdr:row>
      <xdr:rowOff>105410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0.08311</cdr:x>
      <cdr:y>0.46103</cdr:y>
    </cdr:from>
    <cdr:to>
      <cdr:x>1</cdr:x>
      <cdr:y>0.46277</cdr:y>
    </cdr:to>
    <cdr:cxnSp macro="">
      <cdr:nvCxnSpPr>
        <cdr:cNvPr id="2" name="Łącznik prostoliniowy 1">
          <a:extLst xmlns:a="http://schemas.openxmlformats.org/drawingml/2006/main">
            <a:ext uri="{FF2B5EF4-FFF2-40B4-BE49-F238E27FC236}">
              <a16:creationId xmlns:a16="http://schemas.microsoft.com/office/drawing/2014/main" id="{07830836-B940-404B-872B-2F3980604640}"/>
            </a:ext>
          </a:extLst>
        </cdr:cNvPr>
        <cdr:cNvCxnSpPr/>
      </cdr:nvCxnSpPr>
      <cdr:spPr>
        <a:xfrm xmlns:a="http://schemas.openxmlformats.org/drawingml/2006/main">
          <a:off x="426808" y="1606828"/>
          <a:ext cx="4708621" cy="6071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2">
              <a:lumMod val="75000"/>
            </a:schemeClr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17984</xdr:colOff>
      <xdr:row>13</xdr:row>
      <xdr:rowOff>103909</xdr:rowOff>
    </xdr:from>
    <xdr:to>
      <xdr:col>1</xdr:col>
      <xdr:colOff>3515591</xdr:colOff>
      <xdr:row>23</xdr:row>
      <xdr:rowOff>181841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3299114</xdr:colOff>
      <xdr:row>13</xdr:row>
      <xdr:rowOff>138545</xdr:rowOff>
    </xdr:from>
    <xdr:to>
      <xdr:col>5</xdr:col>
      <xdr:colOff>727363</xdr:colOff>
      <xdr:row>24</xdr:row>
      <xdr:rowOff>60615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23</xdr:row>
      <xdr:rowOff>31751</xdr:rowOff>
    </xdr:from>
    <xdr:to>
      <xdr:col>1</xdr:col>
      <xdr:colOff>3465857</xdr:colOff>
      <xdr:row>32</xdr:row>
      <xdr:rowOff>158751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3221567</xdr:colOff>
      <xdr:row>23</xdr:row>
      <xdr:rowOff>80433</xdr:rowOff>
    </xdr:from>
    <xdr:to>
      <xdr:col>5</xdr:col>
      <xdr:colOff>649816</xdr:colOff>
      <xdr:row>33</xdr:row>
      <xdr:rowOff>116416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142873</xdr:colOff>
      <xdr:row>0</xdr:row>
      <xdr:rowOff>168279</xdr:rowOff>
    </xdr:from>
    <xdr:to>
      <xdr:col>17</xdr:col>
      <xdr:colOff>250030</xdr:colOff>
      <xdr:row>11</xdr:row>
      <xdr:rowOff>166687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166687</xdr:colOff>
      <xdr:row>0</xdr:row>
      <xdr:rowOff>111654</xdr:rowOff>
    </xdr:from>
    <xdr:to>
      <xdr:col>27</xdr:col>
      <xdr:colOff>214312</xdr:colOff>
      <xdr:row>13</xdr:row>
      <xdr:rowOff>83344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709690</xdr:colOff>
      <xdr:row>20</xdr:row>
      <xdr:rowOff>170090</xdr:rowOff>
    </xdr:from>
    <xdr:to>
      <xdr:col>11</xdr:col>
      <xdr:colOff>243230</xdr:colOff>
      <xdr:row>32</xdr:row>
      <xdr:rowOff>27215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414339</xdr:colOff>
      <xdr:row>13</xdr:row>
      <xdr:rowOff>152929</xdr:rowOff>
    </xdr:from>
    <xdr:to>
      <xdr:col>26</xdr:col>
      <xdr:colOff>190500</xdr:colOff>
      <xdr:row>26</xdr:row>
      <xdr:rowOff>83344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129269</xdr:colOff>
      <xdr:row>19</xdr:row>
      <xdr:rowOff>81719</xdr:rowOff>
    </xdr:from>
    <xdr:to>
      <xdr:col>7</xdr:col>
      <xdr:colOff>86744</xdr:colOff>
      <xdr:row>32</xdr:row>
      <xdr:rowOff>51028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357186</xdr:colOff>
      <xdr:row>12</xdr:row>
      <xdr:rowOff>53182</xdr:rowOff>
    </xdr:from>
    <xdr:to>
      <xdr:col>18</xdr:col>
      <xdr:colOff>59530</xdr:colOff>
      <xdr:row>25</xdr:row>
      <xdr:rowOff>59532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0</xdr:row>
      <xdr:rowOff>180975</xdr:rowOff>
    </xdr:from>
    <xdr:to>
      <xdr:col>18</xdr:col>
      <xdr:colOff>285750</xdr:colOff>
      <xdr:row>34</xdr:row>
      <xdr:rowOff>95250</xdr:rowOff>
    </xdr:to>
    <xdr:grpSp>
      <xdr:nvGrpSpPr>
        <xdr:cNvPr id="65" name="Grupa 64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GrpSpPr/>
      </xdr:nvGrpSpPr>
      <xdr:grpSpPr>
        <a:xfrm>
          <a:off x="5457825" y="180975"/>
          <a:ext cx="5657850" cy="6524625"/>
          <a:chOff x="5029200" y="219075"/>
          <a:chExt cx="5962650" cy="6572250"/>
        </a:xfrm>
      </xdr:grpSpPr>
      <xdr:grpSp>
        <xdr:nvGrpSpPr>
          <xdr:cNvPr id="2" name="Group 127">
            <a:extLst>
              <a:ext uri="{FF2B5EF4-FFF2-40B4-BE49-F238E27FC236}">
                <a16:creationId xmlns:a16="http://schemas.microsoft.com/office/drawing/2014/main" id="{00000000-0008-0000-0C00-000002000000}"/>
              </a:ext>
            </a:extLst>
          </xdr:cNvPr>
          <xdr:cNvGrpSpPr>
            <a:grpSpLocks/>
          </xdr:cNvGrpSpPr>
        </xdr:nvGrpSpPr>
        <xdr:grpSpPr bwMode="auto">
          <a:xfrm>
            <a:off x="5029200" y="219075"/>
            <a:ext cx="5962650" cy="6572250"/>
            <a:chOff x="2843" y="4340"/>
            <a:chExt cx="7177" cy="8496"/>
          </a:xfrm>
        </xdr:grpSpPr>
        <xdr:grpSp>
          <xdr:nvGrpSpPr>
            <xdr:cNvPr id="3" name="Group 126">
              <a:extLst>
                <a:ext uri="{FF2B5EF4-FFF2-40B4-BE49-F238E27FC236}">
                  <a16:creationId xmlns:a16="http://schemas.microsoft.com/office/drawing/2014/main" id="{00000000-0008-0000-0C00-00000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43" y="4340"/>
              <a:ext cx="7177" cy="8496"/>
              <a:chOff x="2999" y="4401"/>
              <a:chExt cx="7177" cy="8496"/>
            </a:xfrm>
          </xdr:grpSpPr>
          <xdr:sp macro="" textlink="">
            <xdr:nvSpPr>
              <xdr:cNvPr id="25" name="Freeform 48">
                <a:extLst>
                  <a:ext uri="{FF2B5EF4-FFF2-40B4-BE49-F238E27FC236}">
                    <a16:creationId xmlns:a16="http://schemas.microsoft.com/office/drawing/2014/main" id="{00000000-0008-0000-0C00-000019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989" y="6480"/>
                <a:ext cx="1666" cy="2925"/>
              </a:xfrm>
              <a:custGeom>
                <a:avLst/>
                <a:gdLst>
                  <a:gd name="T0" fmla="*/ 54 w 751"/>
                  <a:gd name="T1" fmla="*/ 706 h 1233"/>
                  <a:gd name="T2" fmla="*/ 54 w 751"/>
                  <a:gd name="T3" fmla="*/ 581 h 1233"/>
                  <a:gd name="T4" fmla="*/ 36 w 751"/>
                  <a:gd name="T5" fmla="*/ 483 h 1233"/>
                  <a:gd name="T6" fmla="*/ 134 w 751"/>
                  <a:gd name="T7" fmla="*/ 384 h 1233"/>
                  <a:gd name="T8" fmla="*/ 206 w 751"/>
                  <a:gd name="T9" fmla="*/ 295 h 1233"/>
                  <a:gd name="T10" fmla="*/ 304 w 751"/>
                  <a:gd name="T11" fmla="*/ 250 h 1233"/>
                  <a:gd name="T12" fmla="*/ 393 w 751"/>
                  <a:gd name="T13" fmla="*/ 215 h 1233"/>
                  <a:gd name="T14" fmla="*/ 385 w 751"/>
                  <a:gd name="T15" fmla="*/ 117 h 1233"/>
                  <a:gd name="T16" fmla="*/ 304 w 751"/>
                  <a:gd name="T17" fmla="*/ 108 h 1233"/>
                  <a:gd name="T18" fmla="*/ 304 w 751"/>
                  <a:gd name="T19" fmla="*/ 99 h 1233"/>
                  <a:gd name="T20" fmla="*/ 313 w 751"/>
                  <a:gd name="T21" fmla="*/ 90 h 1233"/>
                  <a:gd name="T22" fmla="*/ 322 w 751"/>
                  <a:gd name="T23" fmla="*/ 81 h 1233"/>
                  <a:gd name="T24" fmla="*/ 340 w 751"/>
                  <a:gd name="T25" fmla="*/ 81 h 1233"/>
                  <a:gd name="T26" fmla="*/ 358 w 751"/>
                  <a:gd name="T27" fmla="*/ 81 h 1233"/>
                  <a:gd name="T28" fmla="*/ 385 w 751"/>
                  <a:gd name="T29" fmla="*/ 72 h 1233"/>
                  <a:gd name="T30" fmla="*/ 402 w 751"/>
                  <a:gd name="T31" fmla="*/ 63 h 1233"/>
                  <a:gd name="T32" fmla="*/ 411 w 751"/>
                  <a:gd name="T33" fmla="*/ 36 h 1233"/>
                  <a:gd name="T34" fmla="*/ 411 w 751"/>
                  <a:gd name="T35" fmla="*/ 18 h 1233"/>
                  <a:gd name="T36" fmla="*/ 429 w 751"/>
                  <a:gd name="T37" fmla="*/ 9 h 1233"/>
                  <a:gd name="T38" fmla="*/ 456 w 751"/>
                  <a:gd name="T39" fmla="*/ 0 h 1233"/>
                  <a:gd name="T40" fmla="*/ 474 w 751"/>
                  <a:gd name="T41" fmla="*/ 0 h 1233"/>
                  <a:gd name="T42" fmla="*/ 474 w 751"/>
                  <a:gd name="T43" fmla="*/ 9 h 1233"/>
                  <a:gd name="T44" fmla="*/ 483 w 751"/>
                  <a:gd name="T45" fmla="*/ 18 h 1233"/>
                  <a:gd name="T46" fmla="*/ 492 w 751"/>
                  <a:gd name="T47" fmla="*/ 27 h 1233"/>
                  <a:gd name="T48" fmla="*/ 501 w 751"/>
                  <a:gd name="T49" fmla="*/ 36 h 1233"/>
                  <a:gd name="T50" fmla="*/ 527 w 751"/>
                  <a:gd name="T51" fmla="*/ 45 h 1233"/>
                  <a:gd name="T52" fmla="*/ 536 w 751"/>
                  <a:gd name="T53" fmla="*/ 45 h 1233"/>
                  <a:gd name="T54" fmla="*/ 536 w 751"/>
                  <a:gd name="T55" fmla="*/ 54 h 1233"/>
                  <a:gd name="T56" fmla="*/ 545 w 751"/>
                  <a:gd name="T57" fmla="*/ 63 h 1233"/>
                  <a:gd name="T58" fmla="*/ 554 w 751"/>
                  <a:gd name="T59" fmla="*/ 63 h 1233"/>
                  <a:gd name="T60" fmla="*/ 572 w 751"/>
                  <a:gd name="T61" fmla="*/ 72 h 1233"/>
                  <a:gd name="T62" fmla="*/ 581 w 751"/>
                  <a:gd name="T63" fmla="*/ 72 h 1233"/>
                  <a:gd name="T64" fmla="*/ 590 w 751"/>
                  <a:gd name="T65" fmla="*/ 90 h 1233"/>
                  <a:gd name="T66" fmla="*/ 590 w 751"/>
                  <a:gd name="T67" fmla="*/ 108 h 1233"/>
                  <a:gd name="T68" fmla="*/ 590 w 751"/>
                  <a:gd name="T69" fmla="*/ 125 h 1233"/>
                  <a:gd name="T70" fmla="*/ 581 w 751"/>
                  <a:gd name="T71" fmla="*/ 152 h 1233"/>
                  <a:gd name="T72" fmla="*/ 581 w 751"/>
                  <a:gd name="T73" fmla="*/ 170 h 1233"/>
                  <a:gd name="T74" fmla="*/ 590 w 751"/>
                  <a:gd name="T75" fmla="*/ 170 h 1233"/>
                  <a:gd name="T76" fmla="*/ 608 w 751"/>
                  <a:gd name="T77" fmla="*/ 179 h 1233"/>
                  <a:gd name="T78" fmla="*/ 617 w 751"/>
                  <a:gd name="T79" fmla="*/ 188 h 1233"/>
                  <a:gd name="T80" fmla="*/ 626 w 751"/>
                  <a:gd name="T81" fmla="*/ 206 h 1233"/>
                  <a:gd name="T82" fmla="*/ 626 w 751"/>
                  <a:gd name="T83" fmla="*/ 224 h 1233"/>
                  <a:gd name="T84" fmla="*/ 626 w 751"/>
                  <a:gd name="T85" fmla="*/ 233 h 1233"/>
                  <a:gd name="T86" fmla="*/ 572 w 751"/>
                  <a:gd name="T87" fmla="*/ 286 h 1233"/>
                  <a:gd name="T88" fmla="*/ 483 w 751"/>
                  <a:gd name="T89" fmla="*/ 358 h 1233"/>
                  <a:gd name="T90" fmla="*/ 447 w 751"/>
                  <a:gd name="T91" fmla="*/ 411 h 1233"/>
                  <a:gd name="T92" fmla="*/ 492 w 751"/>
                  <a:gd name="T93" fmla="*/ 492 h 1233"/>
                  <a:gd name="T94" fmla="*/ 501 w 751"/>
                  <a:gd name="T95" fmla="*/ 599 h 1233"/>
                  <a:gd name="T96" fmla="*/ 563 w 751"/>
                  <a:gd name="T97" fmla="*/ 715 h 1233"/>
                  <a:gd name="T98" fmla="*/ 626 w 751"/>
                  <a:gd name="T99" fmla="*/ 858 h 1233"/>
                  <a:gd name="T100" fmla="*/ 706 w 751"/>
                  <a:gd name="T101" fmla="*/ 992 h 1233"/>
                  <a:gd name="T102" fmla="*/ 733 w 751"/>
                  <a:gd name="T103" fmla="*/ 1224 h 1233"/>
                  <a:gd name="T104" fmla="*/ 608 w 751"/>
                  <a:gd name="T105" fmla="*/ 1188 h 1233"/>
                  <a:gd name="T106" fmla="*/ 554 w 751"/>
                  <a:gd name="T107" fmla="*/ 1135 h 1233"/>
                  <a:gd name="T108" fmla="*/ 429 w 751"/>
                  <a:gd name="T109" fmla="*/ 1090 h 1233"/>
                  <a:gd name="T110" fmla="*/ 322 w 751"/>
                  <a:gd name="T111" fmla="*/ 1054 h 1233"/>
                  <a:gd name="T112" fmla="*/ 179 w 751"/>
                  <a:gd name="T113" fmla="*/ 876 h 1233"/>
                  <a:gd name="T114" fmla="*/ 170 w 751"/>
                  <a:gd name="T115" fmla="*/ 813 h 1233"/>
                  <a:gd name="T116" fmla="*/ 27 w 751"/>
                  <a:gd name="T117" fmla="*/ 786 h 123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</a:cxnLst>
                <a:rect l="0" t="0" r="r" b="b"/>
                <a:pathLst>
                  <a:path w="751" h="1233">
                    <a:moveTo>
                      <a:pt x="0" y="768"/>
                    </a:moveTo>
                    <a:lnTo>
                      <a:pt x="0" y="759"/>
                    </a:lnTo>
                    <a:lnTo>
                      <a:pt x="0" y="759"/>
                    </a:lnTo>
                    <a:lnTo>
                      <a:pt x="18" y="759"/>
                    </a:lnTo>
                    <a:lnTo>
                      <a:pt x="36" y="751"/>
                    </a:lnTo>
                    <a:lnTo>
                      <a:pt x="45" y="751"/>
                    </a:lnTo>
                    <a:lnTo>
                      <a:pt x="54" y="733"/>
                    </a:lnTo>
                    <a:lnTo>
                      <a:pt x="54" y="715"/>
                    </a:lnTo>
                    <a:lnTo>
                      <a:pt x="54" y="706"/>
                    </a:lnTo>
                    <a:lnTo>
                      <a:pt x="63" y="706"/>
                    </a:lnTo>
                    <a:lnTo>
                      <a:pt x="63" y="688"/>
                    </a:lnTo>
                    <a:lnTo>
                      <a:pt x="72" y="679"/>
                    </a:lnTo>
                    <a:lnTo>
                      <a:pt x="72" y="661"/>
                    </a:lnTo>
                    <a:lnTo>
                      <a:pt x="63" y="652"/>
                    </a:lnTo>
                    <a:lnTo>
                      <a:pt x="45" y="643"/>
                    </a:lnTo>
                    <a:lnTo>
                      <a:pt x="45" y="617"/>
                    </a:lnTo>
                    <a:lnTo>
                      <a:pt x="45" y="599"/>
                    </a:lnTo>
                    <a:lnTo>
                      <a:pt x="54" y="581"/>
                    </a:lnTo>
                    <a:lnTo>
                      <a:pt x="72" y="581"/>
                    </a:lnTo>
                    <a:lnTo>
                      <a:pt x="72" y="563"/>
                    </a:lnTo>
                    <a:lnTo>
                      <a:pt x="72" y="545"/>
                    </a:lnTo>
                    <a:lnTo>
                      <a:pt x="63" y="536"/>
                    </a:lnTo>
                    <a:lnTo>
                      <a:pt x="45" y="536"/>
                    </a:lnTo>
                    <a:lnTo>
                      <a:pt x="27" y="527"/>
                    </a:lnTo>
                    <a:lnTo>
                      <a:pt x="27" y="509"/>
                    </a:lnTo>
                    <a:lnTo>
                      <a:pt x="27" y="492"/>
                    </a:lnTo>
                    <a:lnTo>
                      <a:pt x="36" y="483"/>
                    </a:lnTo>
                    <a:lnTo>
                      <a:pt x="45" y="465"/>
                    </a:lnTo>
                    <a:lnTo>
                      <a:pt x="45" y="447"/>
                    </a:lnTo>
                    <a:lnTo>
                      <a:pt x="54" y="429"/>
                    </a:lnTo>
                    <a:lnTo>
                      <a:pt x="72" y="429"/>
                    </a:lnTo>
                    <a:lnTo>
                      <a:pt x="90" y="429"/>
                    </a:lnTo>
                    <a:lnTo>
                      <a:pt x="108" y="429"/>
                    </a:lnTo>
                    <a:lnTo>
                      <a:pt x="117" y="420"/>
                    </a:lnTo>
                    <a:lnTo>
                      <a:pt x="125" y="402"/>
                    </a:lnTo>
                    <a:lnTo>
                      <a:pt x="134" y="384"/>
                    </a:lnTo>
                    <a:lnTo>
                      <a:pt x="134" y="376"/>
                    </a:lnTo>
                    <a:lnTo>
                      <a:pt x="134" y="358"/>
                    </a:lnTo>
                    <a:lnTo>
                      <a:pt x="143" y="358"/>
                    </a:lnTo>
                    <a:lnTo>
                      <a:pt x="152" y="358"/>
                    </a:lnTo>
                    <a:lnTo>
                      <a:pt x="170" y="349"/>
                    </a:lnTo>
                    <a:lnTo>
                      <a:pt x="179" y="340"/>
                    </a:lnTo>
                    <a:lnTo>
                      <a:pt x="206" y="349"/>
                    </a:lnTo>
                    <a:lnTo>
                      <a:pt x="206" y="331"/>
                    </a:lnTo>
                    <a:lnTo>
                      <a:pt x="206" y="295"/>
                    </a:lnTo>
                    <a:lnTo>
                      <a:pt x="215" y="277"/>
                    </a:lnTo>
                    <a:lnTo>
                      <a:pt x="224" y="250"/>
                    </a:lnTo>
                    <a:lnTo>
                      <a:pt x="233" y="233"/>
                    </a:lnTo>
                    <a:lnTo>
                      <a:pt x="242" y="224"/>
                    </a:lnTo>
                    <a:lnTo>
                      <a:pt x="268" y="224"/>
                    </a:lnTo>
                    <a:lnTo>
                      <a:pt x="277" y="224"/>
                    </a:lnTo>
                    <a:lnTo>
                      <a:pt x="277" y="233"/>
                    </a:lnTo>
                    <a:lnTo>
                      <a:pt x="286" y="250"/>
                    </a:lnTo>
                    <a:lnTo>
                      <a:pt x="304" y="250"/>
                    </a:lnTo>
                    <a:lnTo>
                      <a:pt x="331" y="250"/>
                    </a:lnTo>
                    <a:lnTo>
                      <a:pt x="331" y="259"/>
                    </a:lnTo>
                    <a:lnTo>
                      <a:pt x="340" y="268"/>
                    </a:lnTo>
                    <a:lnTo>
                      <a:pt x="349" y="268"/>
                    </a:lnTo>
                    <a:lnTo>
                      <a:pt x="358" y="268"/>
                    </a:lnTo>
                    <a:lnTo>
                      <a:pt x="367" y="250"/>
                    </a:lnTo>
                    <a:lnTo>
                      <a:pt x="376" y="233"/>
                    </a:lnTo>
                    <a:lnTo>
                      <a:pt x="376" y="224"/>
                    </a:lnTo>
                    <a:lnTo>
                      <a:pt x="393" y="215"/>
                    </a:lnTo>
                    <a:lnTo>
                      <a:pt x="411" y="206"/>
                    </a:lnTo>
                    <a:lnTo>
                      <a:pt x="420" y="197"/>
                    </a:lnTo>
                    <a:lnTo>
                      <a:pt x="438" y="197"/>
                    </a:lnTo>
                    <a:lnTo>
                      <a:pt x="438" y="179"/>
                    </a:lnTo>
                    <a:lnTo>
                      <a:pt x="438" y="161"/>
                    </a:lnTo>
                    <a:lnTo>
                      <a:pt x="429" y="161"/>
                    </a:lnTo>
                    <a:lnTo>
                      <a:pt x="429" y="134"/>
                    </a:lnTo>
                    <a:lnTo>
                      <a:pt x="429" y="117"/>
                    </a:lnTo>
                    <a:lnTo>
                      <a:pt x="385" y="117"/>
                    </a:lnTo>
                    <a:lnTo>
                      <a:pt x="349" y="108"/>
                    </a:lnTo>
                    <a:lnTo>
                      <a:pt x="322" y="108"/>
                    </a:lnTo>
                    <a:lnTo>
                      <a:pt x="313" y="108"/>
                    </a:lnTo>
                    <a:lnTo>
                      <a:pt x="304" y="108"/>
                    </a:lnTo>
                    <a:lnTo>
                      <a:pt x="304" y="108"/>
                    </a:lnTo>
                    <a:lnTo>
                      <a:pt x="304" y="108"/>
                    </a:lnTo>
                    <a:lnTo>
                      <a:pt x="304" y="108"/>
                    </a:lnTo>
                    <a:lnTo>
                      <a:pt x="304" y="108"/>
                    </a:lnTo>
                    <a:lnTo>
                      <a:pt x="304" y="108"/>
                    </a:lnTo>
                    <a:lnTo>
                      <a:pt x="304" y="108"/>
                    </a:lnTo>
                    <a:lnTo>
                      <a:pt x="304" y="99"/>
                    </a:lnTo>
                    <a:lnTo>
                      <a:pt x="304" y="99"/>
                    </a:lnTo>
                    <a:lnTo>
                      <a:pt x="304" y="99"/>
                    </a:lnTo>
                    <a:lnTo>
                      <a:pt x="304" y="99"/>
                    </a:lnTo>
                    <a:lnTo>
                      <a:pt x="304" y="99"/>
                    </a:lnTo>
                    <a:lnTo>
                      <a:pt x="304" y="99"/>
                    </a:lnTo>
                    <a:lnTo>
                      <a:pt x="304" y="99"/>
                    </a:lnTo>
                    <a:lnTo>
                      <a:pt x="304" y="99"/>
                    </a:lnTo>
                    <a:lnTo>
                      <a:pt x="304" y="99"/>
                    </a:lnTo>
                    <a:lnTo>
                      <a:pt x="304" y="90"/>
                    </a:lnTo>
                    <a:lnTo>
                      <a:pt x="304" y="90"/>
                    </a:lnTo>
                    <a:lnTo>
                      <a:pt x="304" y="90"/>
                    </a:lnTo>
                    <a:lnTo>
                      <a:pt x="304" y="90"/>
                    </a:lnTo>
                    <a:lnTo>
                      <a:pt x="304" y="90"/>
                    </a:lnTo>
                    <a:lnTo>
                      <a:pt x="313" y="90"/>
                    </a:lnTo>
                    <a:lnTo>
                      <a:pt x="313" y="90"/>
                    </a:lnTo>
                    <a:lnTo>
                      <a:pt x="313" y="90"/>
                    </a:lnTo>
                    <a:lnTo>
                      <a:pt x="313" y="90"/>
                    </a:lnTo>
                    <a:lnTo>
                      <a:pt x="313" y="90"/>
                    </a:lnTo>
                    <a:lnTo>
                      <a:pt x="313" y="90"/>
                    </a:lnTo>
                    <a:lnTo>
                      <a:pt x="322" y="90"/>
                    </a:lnTo>
                    <a:lnTo>
                      <a:pt x="322" y="90"/>
                    </a:lnTo>
                    <a:lnTo>
                      <a:pt x="322" y="90"/>
                    </a:lnTo>
                    <a:lnTo>
                      <a:pt x="322" y="90"/>
                    </a:lnTo>
                    <a:lnTo>
                      <a:pt x="322" y="81"/>
                    </a:lnTo>
                    <a:lnTo>
                      <a:pt x="322" y="81"/>
                    </a:lnTo>
                    <a:lnTo>
                      <a:pt x="331" y="81"/>
                    </a:lnTo>
                    <a:lnTo>
                      <a:pt x="331" y="81"/>
                    </a:lnTo>
                    <a:lnTo>
                      <a:pt x="331" y="81"/>
                    </a:lnTo>
                    <a:lnTo>
                      <a:pt x="331" y="81"/>
                    </a:lnTo>
                    <a:lnTo>
                      <a:pt x="331" y="81"/>
                    </a:lnTo>
                    <a:lnTo>
                      <a:pt x="331" y="81"/>
                    </a:lnTo>
                    <a:lnTo>
                      <a:pt x="331" y="81"/>
                    </a:lnTo>
                    <a:lnTo>
                      <a:pt x="340" y="81"/>
                    </a:lnTo>
                    <a:lnTo>
                      <a:pt x="340" y="81"/>
                    </a:lnTo>
                    <a:lnTo>
                      <a:pt x="340" y="81"/>
                    </a:lnTo>
                    <a:lnTo>
                      <a:pt x="340" y="81"/>
                    </a:lnTo>
                    <a:lnTo>
                      <a:pt x="349" y="81"/>
                    </a:lnTo>
                    <a:lnTo>
                      <a:pt x="349" y="81"/>
                    </a:lnTo>
                    <a:lnTo>
                      <a:pt x="349" y="81"/>
                    </a:lnTo>
                    <a:lnTo>
                      <a:pt x="349" y="81"/>
                    </a:lnTo>
                    <a:lnTo>
                      <a:pt x="358" y="81"/>
                    </a:lnTo>
                    <a:lnTo>
                      <a:pt x="358" y="81"/>
                    </a:lnTo>
                    <a:lnTo>
                      <a:pt x="358" y="81"/>
                    </a:lnTo>
                    <a:lnTo>
                      <a:pt x="367" y="81"/>
                    </a:lnTo>
                    <a:lnTo>
                      <a:pt x="367" y="81"/>
                    </a:lnTo>
                    <a:lnTo>
                      <a:pt x="367" y="81"/>
                    </a:lnTo>
                    <a:lnTo>
                      <a:pt x="376" y="81"/>
                    </a:lnTo>
                    <a:lnTo>
                      <a:pt x="376" y="81"/>
                    </a:lnTo>
                    <a:lnTo>
                      <a:pt x="376" y="81"/>
                    </a:lnTo>
                    <a:lnTo>
                      <a:pt x="385" y="81"/>
                    </a:lnTo>
                    <a:lnTo>
                      <a:pt x="385" y="72"/>
                    </a:lnTo>
                    <a:lnTo>
                      <a:pt x="385" y="72"/>
                    </a:lnTo>
                    <a:lnTo>
                      <a:pt x="385" y="72"/>
                    </a:lnTo>
                    <a:lnTo>
                      <a:pt x="393" y="72"/>
                    </a:lnTo>
                    <a:lnTo>
                      <a:pt x="393" y="72"/>
                    </a:lnTo>
                    <a:lnTo>
                      <a:pt x="393" y="72"/>
                    </a:lnTo>
                    <a:lnTo>
                      <a:pt x="393" y="72"/>
                    </a:lnTo>
                    <a:lnTo>
                      <a:pt x="402" y="63"/>
                    </a:lnTo>
                    <a:lnTo>
                      <a:pt x="402" y="63"/>
                    </a:lnTo>
                    <a:lnTo>
                      <a:pt x="402" y="63"/>
                    </a:lnTo>
                    <a:lnTo>
                      <a:pt x="402" y="63"/>
                    </a:lnTo>
                    <a:lnTo>
                      <a:pt x="402" y="63"/>
                    </a:lnTo>
                    <a:lnTo>
                      <a:pt x="402" y="63"/>
                    </a:lnTo>
                    <a:lnTo>
                      <a:pt x="411" y="54"/>
                    </a:lnTo>
                    <a:lnTo>
                      <a:pt x="411" y="54"/>
                    </a:lnTo>
                    <a:lnTo>
                      <a:pt x="411" y="54"/>
                    </a:lnTo>
                    <a:lnTo>
                      <a:pt x="411" y="54"/>
                    </a:lnTo>
                    <a:lnTo>
                      <a:pt x="411" y="45"/>
                    </a:lnTo>
                    <a:lnTo>
                      <a:pt x="411" y="45"/>
                    </a:lnTo>
                    <a:lnTo>
                      <a:pt x="411" y="36"/>
                    </a:lnTo>
                    <a:lnTo>
                      <a:pt x="411" y="36"/>
                    </a:lnTo>
                    <a:lnTo>
                      <a:pt x="411" y="36"/>
                    </a:lnTo>
                    <a:lnTo>
                      <a:pt x="411" y="27"/>
                    </a:lnTo>
                    <a:lnTo>
                      <a:pt x="411" y="27"/>
                    </a:lnTo>
                    <a:lnTo>
                      <a:pt x="411" y="27"/>
                    </a:lnTo>
                    <a:lnTo>
                      <a:pt x="411" y="27"/>
                    </a:lnTo>
                    <a:lnTo>
                      <a:pt x="411" y="18"/>
                    </a:lnTo>
                    <a:lnTo>
                      <a:pt x="411" y="18"/>
                    </a:lnTo>
                    <a:lnTo>
                      <a:pt x="411" y="18"/>
                    </a:lnTo>
                    <a:lnTo>
                      <a:pt x="420" y="18"/>
                    </a:lnTo>
                    <a:lnTo>
                      <a:pt x="420" y="9"/>
                    </a:lnTo>
                    <a:lnTo>
                      <a:pt x="420" y="9"/>
                    </a:lnTo>
                    <a:lnTo>
                      <a:pt x="420" y="9"/>
                    </a:lnTo>
                    <a:lnTo>
                      <a:pt x="420" y="9"/>
                    </a:lnTo>
                    <a:lnTo>
                      <a:pt x="420" y="9"/>
                    </a:lnTo>
                    <a:lnTo>
                      <a:pt x="420" y="9"/>
                    </a:lnTo>
                    <a:lnTo>
                      <a:pt x="429" y="9"/>
                    </a:lnTo>
                    <a:lnTo>
                      <a:pt x="429" y="9"/>
                    </a:lnTo>
                    <a:lnTo>
                      <a:pt x="429" y="0"/>
                    </a:lnTo>
                    <a:lnTo>
                      <a:pt x="429" y="0"/>
                    </a:lnTo>
                    <a:lnTo>
                      <a:pt x="438" y="0"/>
                    </a:lnTo>
                    <a:lnTo>
                      <a:pt x="438" y="0"/>
                    </a:lnTo>
                    <a:lnTo>
                      <a:pt x="438" y="0"/>
                    </a:lnTo>
                    <a:lnTo>
                      <a:pt x="447" y="0"/>
                    </a:lnTo>
                    <a:lnTo>
                      <a:pt x="447" y="0"/>
                    </a:lnTo>
                    <a:lnTo>
                      <a:pt x="447" y="0"/>
                    </a:lnTo>
                    <a:lnTo>
                      <a:pt x="456" y="0"/>
                    </a:lnTo>
                    <a:lnTo>
                      <a:pt x="456" y="0"/>
                    </a:lnTo>
                    <a:lnTo>
                      <a:pt x="456" y="0"/>
                    </a:lnTo>
                    <a:lnTo>
                      <a:pt x="456" y="0"/>
                    </a:lnTo>
                    <a:lnTo>
                      <a:pt x="456" y="0"/>
                    </a:lnTo>
                    <a:lnTo>
                      <a:pt x="465" y="0"/>
                    </a:lnTo>
                    <a:lnTo>
                      <a:pt x="465" y="0"/>
                    </a:lnTo>
                    <a:lnTo>
                      <a:pt x="465" y="0"/>
                    </a:lnTo>
                    <a:lnTo>
                      <a:pt x="465" y="0"/>
                    </a:lnTo>
                    <a:lnTo>
                      <a:pt x="474" y="0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83" y="9"/>
                    </a:lnTo>
                    <a:lnTo>
                      <a:pt x="483" y="9"/>
                    </a:lnTo>
                    <a:lnTo>
                      <a:pt x="483" y="9"/>
                    </a:lnTo>
                    <a:lnTo>
                      <a:pt x="483" y="18"/>
                    </a:lnTo>
                    <a:lnTo>
                      <a:pt x="483" y="18"/>
                    </a:lnTo>
                    <a:lnTo>
                      <a:pt x="483" y="18"/>
                    </a:lnTo>
                    <a:lnTo>
                      <a:pt x="483" y="18"/>
                    </a:lnTo>
                    <a:lnTo>
                      <a:pt x="483" y="18"/>
                    </a:lnTo>
                    <a:lnTo>
                      <a:pt x="483" y="18"/>
                    </a:lnTo>
                    <a:lnTo>
                      <a:pt x="483" y="18"/>
                    </a:lnTo>
                    <a:lnTo>
                      <a:pt x="483" y="27"/>
                    </a:lnTo>
                    <a:lnTo>
                      <a:pt x="492" y="27"/>
                    </a:lnTo>
                    <a:lnTo>
                      <a:pt x="492" y="27"/>
                    </a:lnTo>
                    <a:lnTo>
                      <a:pt x="492" y="27"/>
                    </a:lnTo>
                    <a:lnTo>
                      <a:pt x="492" y="27"/>
                    </a:lnTo>
                    <a:lnTo>
                      <a:pt x="492" y="27"/>
                    </a:lnTo>
                    <a:lnTo>
                      <a:pt x="492" y="27"/>
                    </a:lnTo>
                    <a:lnTo>
                      <a:pt x="492" y="36"/>
                    </a:lnTo>
                    <a:lnTo>
                      <a:pt x="492" y="36"/>
                    </a:lnTo>
                    <a:lnTo>
                      <a:pt x="501" y="36"/>
                    </a:lnTo>
                    <a:lnTo>
                      <a:pt x="501" y="36"/>
                    </a:lnTo>
                    <a:lnTo>
                      <a:pt x="501" y="36"/>
                    </a:lnTo>
                    <a:lnTo>
                      <a:pt x="501" y="36"/>
                    </a:lnTo>
                    <a:lnTo>
                      <a:pt x="510" y="45"/>
                    </a:lnTo>
                    <a:lnTo>
                      <a:pt x="510" y="45"/>
                    </a:lnTo>
                    <a:lnTo>
                      <a:pt x="510" y="45"/>
                    </a:lnTo>
                    <a:lnTo>
                      <a:pt x="510" y="45"/>
                    </a:lnTo>
                    <a:lnTo>
                      <a:pt x="518" y="45"/>
                    </a:lnTo>
                    <a:lnTo>
                      <a:pt x="518" y="45"/>
                    </a:lnTo>
                    <a:lnTo>
                      <a:pt x="518" y="45"/>
                    </a:lnTo>
                    <a:lnTo>
                      <a:pt x="518" y="45"/>
                    </a:lnTo>
                    <a:lnTo>
                      <a:pt x="527" y="45"/>
                    </a:lnTo>
                    <a:lnTo>
                      <a:pt x="527" y="45"/>
                    </a:lnTo>
                    <a:lnTo>
                      <a:pt x="527" y="45"/>
                    </a:lnTo>
                    <a:lnTo>
                      <a:pt x="527" y="45"/>
                    </a:lnTo>
                    <a:lnTo>
                      <a:pt x="527" y="45"/>
                    </a:lnTo>
                    <a:lnTo>
                      <a:pt x="527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54"/>
                    </a:lnTo>
                    <a:lnTo>
                      <a:pt x="536" y="54"/>
                    </a:lnTo>
                    <a:lnTo>
                      <a:pt x="536" y="54"/>
                    </a:lnTo>
                    <a:lnTo>
                      <a:pt x="536" y="54"/>
                    </a:lnTo>
                    <a:lnTo>
                      <a:pt x="536" y="54"/>
                    </a:lnTo>
                    <a:lnTo>
                      <a:pt x="536" y="54"/>
                    </a:lnTo>
                    <a:lnTo>
                      <a:pt x="536" y="54"/>
                    </a:lnTo>
                    <a:lnTo>
                      <a:pt x="545" y="54"/>
                    </a:lnTo>
                    <a:lnTo>
                      <a:pt x="545" y="63"/>
                    </a:lnTo>
                    <a:lnTo>
                      <a:pt x="545" y="63"/>
                    </a:lnTo>
                    <a:lnTo>
                      <a:pt x="545" y="63"/>
                    </a:lnTo>
                    <a:lnTo>
                      <a:pt x="545" y="63"/>
                    </a:lnTo>
                    <a:lnTo>
                      <a:pt x="545" y="63"/>
                    </a:lnTo>
                    <a:lnTo>
                      <a:pt x="545" y="63"/>
                    </a:lnTo>
                    <a:lnTo>
                      <a:pt x="545" y="63"/>
                    </a:lnTo>
                    <a:lnTo>
                      <a:pt x="545" y="63"/>
                    </a:lnTo>
                    <a:lnTo>
                      <a:pt x="545" y="63"/>
                    </a:lnTo>
                    <a:lnTo>
                      <a:pt x="545" y="63"/>
                    </a:lnTo>
                    <a:lnTo>
                      <a:pt x="545" y="63"/>
                    </a:lnTo>
                    <a:lnTo>
                      <a:pt x="554" y="63"/>
                    </a:lnTo>
                    <a:lnTo>
                      <a:pt x="554" y="63"/>
                    </a:lnTo>
                    <a:lnTo>
                      <a:pt x="554" y="63"/>
                    </a:lnTo>
                    <a:lnTo>
                      <a:pt x="554" y="63"/>
                    </a:lnTo>
                    <a:lnTo>
                      <a:pt x="563" y="72"/>
                    </a:lnTo>
                    <a:lnTo>
                      <a:pt x="563" y="72"/>
                    </a:lnTo>
                    <a:lnTo>
                      <a:pt x="563" y="72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63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81" y="72"/>
                    </a:lnTo>
                    <a:lnTo>
                      <a:pt x="581" y="72"/>
                    </a:lnTo>
                    <a:lnTo>
                      <a:pt x="581" y="81"/>
                    </a:lnTo>
                    <a:lnTo>
                      <a:pt x="581" y="81"/>
                    </a:lnTo>
                    <a:lnTo>
                      <a:pt x="581" y="81"/>
                    </a:lnTo>
                    <a:lnTo>
                      <a:pt x="590" y="81"/>
                    </a:lnTo>
                    <a:lnTo>
                      <a:pt x="590" y="81"/>
                    </a:lnTo>
                    <a:lnTo>
                      <a:pt x="590" y="90"/>
                    </a:lnTo>
                    <a:lnTo>
                      <a:pt x="590" y="90"/>
                    </a:lnTo>
                    <a:lnTo>
                      <a:pt x="590" y="90"/>
                    </a:lnTo>
                    <a:lnTo>
                      <a:pt x="590" y="90"/>
                    </a:lnTo>
                    <a:lnTo>
                      <a:pt x="590" y="99"/>
                    </a:lnTo>
                    <a:lnTo>
                      <a:pt x="590" y="99"/>
                    </a:lnTo>
                    <a:lnTo>
                      <a:pt x="590" y="99"/>
                    </a:lnTo>
                    <a:lnTo>
                      <a:pt x="590" y="99"/>
                    </a:lnTo>
                    <a:lnTo>
                      <a:pt x="590" y="108"/>
                    </a:lnTo>
                    <a:lnTo>
                      <a:pt x="590" y="108"/>
                    </a:lnTo>
                    <a:lnTo>
                      <a:pt x="590" y="108"/>
                    </a:lnTo>
                    <a:lnTo>
                      <a:pt x="590" y="108"/>
                    </a:lnTo>
                    <a:lnTo>
                      <a:pt x="590" y="108"/>
                    </a:lnTo>
                    <a:lnTo>
                      <a:pt x="590" y="117"/>
                    </a:lnTo>
                    <a:lnTo>
                      <a:pt x="590" y="117"/>
                    </a:lnTo>
                    <a:lnTo>
                      <a:pt x="590" y="117"/>
                    </a:lnTo>
                    <a:lnTo>
                      <a:pt x="590" y="117"/>
                    </a:lnTo>
                    <a:lnTo>
                      <a:pt x="590" y="125"/>
                    </a:lnTo>
                    <a:lnTo>
                      <a:pt x="590" y="125"/>
                    </a:lnTo>
                    <a:lnTo>
                      <a:pt x="590" y="125"/>
                    </a:lnTo>
                    <a:lnTo>
                      <a:pt x="590" y="125"/>
                    </a:lnTo>
                    <a:lnTo>
                      <a:pt x="590" y="125"/>
                    </a:lnTo>
                    <a:lnTo>
                      <a:pt x="590" y="134"/>
                    </a:lnTo>
                    <a:lnTo>
                      <a:pt x="590" y="134"/>
                    </a:lnTo>
                    <a:lnTo>
                      <a:pt x="590" y="134"/>
                    </a:lnTo>
                    <a:lnTo>
                      <a:pt x="590" y="134"/>
                    </a:lnTo>
                    <a:lnTo>
                      <a:pt x="590" y="143"/>
                    </a:lnTo>
                    <a:lnTo>
                      <a:pt x="590" y="143"/>
                    </a:lnTo>
                    <a:lnTo>
                      <a:pt x="581" y="143"/>
                    </a:lnTo>
                    <a:lnTo>
                      <a:pt x="581" y="152"/>
                    </a:lnTo>
                    <a:lnTo>
                      <a:pt x="581" y="152"/>
                    </a:lnTo>
                    <a:lnTo>
                      <a:pt x="581" y="152"/>
                    </a:lnTo>
                    <a:lnTo>
                      <a:pt x="581" y="152"/>
                    </a:lnTo>
                    <a:lnTo>
                      <a:pt x="581" y="161"/>
                    </a:lnTo>
                    <a:lnTo>
                      <a:pt x="581" y="161"/>
                    </a:lnTo>
                    <a:lnTo>
                      <a:pt x="581" y="161"/>
                    </a:lnTo>
                    <a:lnTo>
                      <a:pt x="581" y="170"/>
                    </a:lnTo>
                    <a:lnTo>
                      <a:pt x="581" y="170"/>
                    </a:lnTo>
                    <a:lnTo>
                      <a:pt x="581" y="170"/>
                    </a:lnTo>
                    <a:lnTo>
                      <a:pt x="581" y="170"/>
                    </a:lnTo>
                    <a:lnTo>
                      <a:pt x="590" y="170"/>
                    </a:lnTo>
                    <a:lnTo>
                      <a:pt x="590" y="170"/>
                    </a:lnTo>
                    <a:lnTo>
                      <a:pt x="590" y="170"/>
                    </a:lnTo>
                    <a:lnTo>
                      <a:pt x="590" y="170"/>
                    </a:lnTo>
                    <a:lnTo>
                      <a:pt x="590" y="170"/>
                    </a:lnTo>
                    <a:lnTo>
                      <a:pt x="590" y="170"/>
                    </a:lnTo>
                    <a:lnTo>
                      <a:pt x="590" y="170"/>
                    </a:lnTo>
                    <a:lnTo>
                      <a:pt x="590" y="170"/>
                    </a:lnTo>
                    <a:lnTo>
                      <a:pt x="599" y="170"/>
                    </a:lnTo>
                    <a:lnTo>
                      <a:pt x="599" y="170"/>
                    </a:lnTo>
                    <a:lnTo>
                      <a:pt x="599" y="170"/>
                    </a:lnTo>
                    <a:lnTo>
                      <a:pt x="599" y="170"/>
                    </a:lnTo>
                    <a:lnTo>
                      <a:pt x="608" y="170"/>
                    </a:lnTo>
                    <a:lnTo>
                      <a:pt x="608" y="179"/>
                    </a:lnTo>
                    <a:lnTo>
                      <a:pt x="608" y="179"/>
                    </a:lnTo>
                    <a:lnTo>
                      <a:pt x="608" y="179"/>
                    </a:lnTo>
                    <a:lnTo>
                      <a:pt x="608" y="179"/>
                    </a:lnTo>
                    <a:lnTo>
                      <a:pt x="617" y="179"/>
                    </a:lnTo>
                    <a:lnTo>
                      <a:pt x="617" y="179"/>
                    </a:lnTo>
                    <a:lnTo>
                      <a:pt x="617" y="179"/>
                    </a:lnTo>
                    <a:lnTo>
                      <a:pt x="617" y="179"/>
                    </a:lnTo>
                    <a:lnTo>
                      <a:pt x="617" y="179"/>
                    </a:lnTo>
                    <a:lnTo>
                      <a:pt x="617" y="179"/>
                    </a:lnTo>
                    <a:lnTo>
                      <a:pt x="617" y="188"/>
                    </a:lnTo>
                    <a:lnTo>
                      <a:pt x="617" y="188"/>
                    </a:lnTo>
                    <a:lnTo>
                      <a:pt x="617" y="188"/>
                    </a:lnTo>
                    <a:lnTo>
                      <a:pt x="617" y="188"/>
                    </a:lnTo>
                    <a:lnTo>
                      <a:pt x="617" y="197"/>
                    </a:lnTo>
                    <a:lnTo>
                      <a:pt x="617" y="197"/>
                    </a:lnTo>
                    <a:lnTo>
                      <a:pt x="617" y="197"/>
                    </a:lnTo>
                    <a:lnTo>
                      <a:pt x="617" y="197"/>
                    </a:lnTo>
                    <a:lnTo>
                      <a:pt x="617" y="206"/>
                    </a:lnTo>
                    <a:lnTo>
                      <a:pt x="626" y="206"/>
                    </a:lnTo>
                    <a:lnTo>
                      <a:pt x="626" y="206"/>
                    </a:lnTo>
                    <a:lnTo>
                      <a:pt x="626" y="206"/>
                    </a:lnTo>
                    <a:lnTo>
                      <a:pt x="626" y="215"/>
                    </a:lnTo>
                    <a:lnTo>
                      <a:pt x="626" y="215"/>
                    </a:lnTo>
                    <a:lnTo>
                      <a:pt x="626" y="215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33"/>
                    </a:lnTo>
                    <a:lnTo>
                      <a:pt x="626" y="233"/>
                    </a:lnTo>
                    <a:lnTo>
                      <a:pt x="626" y="233"/>
                    </a:lnTo>
                    <a:lnTo>
                      <a:pt x="617" y="242"/>
                    </a:lnTo>
                    <a:lnTo>
                      <a:pt x="608" y="242"/>
                    </a:lnTo>
                    <a:lnTo>
                      <a:pt x="608" y="250"/>
                    </a:lnTo>
                    <a:lnTo>
                      <a:pt x="590" y="250"/>
                    </a:lnTo>
                    <a:lnTo>
                      <a:pt x="572" y="259"/>
                    </a:lnTo>
                    <a:lnTo>
                      <a:pt x="572" y="277"/>
                    </a:lnTo>
                    <a:lnTo>
                      <a:pt x="572" y="286"/>
                    </a:lnTo>
                    <a:lnTo>
                      <a:pt x="572" y="313"/>
                    </a:lnTo>
                    <a:lnTo>
                      <a:pt x="572" y="331"/>
                    </a:lnTo>
                    <a:lnTo>
                      <a:pt x="554" y="358"/>
                    </a:lnTo>
                    <a:lnTo>
                      <a:pt x="545" y="367"/>
                    </a:lnTo>
                    <a:lnTo>
                      <a:pt x="527" y="367"/>
                    </a:lnTo>
                    <a:lnTo>
                      <a:pt x="510" y="367"/>
                    </a:lnTo>
                    <a:lnTo>
                      <a:pt x="510" y="349"/>
                    </a:lnTo>
                    <a:lnTo>
                      <a:pt x="492" y="349"/>
                    </a:lnTo>
                    <a:lnTo>
                      <a:pt x="483" y="358"/>
                    </a:lnTo>
                    <a:lnTo>
                      <a:pt x="474" y="367"/>
                    </a:lnTo>
                    <a:lnTo>
                      <a:pt x="456" y="367"/>
                    </a:lnTo>
                    <a:lnTo>
                      <a:pt x="438" y="367"/>
                    </a:lnTo>
                    <a:lnTo>
                      <a:pt x="429" y="367"/>
                    </a:lnTo>
                    <a:lnTo>
                      <a:pt x="429" y="384"/>
                    </a:lnTo>
                    <a:lnTo>
                      <a:pt x="438" y="384"/>
                    </a:lnTo>
                    <a:lnTo>
                      <a:pt x="447" y="393"/>
                    </a:lnTo>
                    <a:lnTo>
                      <a:pt x="438" y="402"/>
                    </a:lnTo>
                    <a:lnTo>
                      <a:pt x="447" y="411"/>
                    </a:lnTo>
                    <a:lnTo>
                      <a:pt x="447" y="420"/>
                    </a:lnTo>
                    <a:lnTo>
                      <a:pt x="447" y="429"/>
                    </a:lnTo>
                    <a:lnTo>
                      <a:pt x="456" y="438"/>
                    </a:lnTo>
                    <a:lnTo>
                      <a:pt x="465" y="438"/>
                    </a:lnTo>
                    <a:lnTo>
                      <a:pt x="474" y="438"/>
                    </a:lnTo>
                    <a:lnTo>
                      <a:pt x="465" y="456"/>
                    </a:lnTo>
                    <a:lnTo>
                      <a:pt x="465" y="474"/>
                    </a:lnTo>
                    <a:lnTo>
                      <a:pt x="483" y="483"/>
                    </a:lnTo>
                    <a:lnTo>
                      <a:pt x="492" y="492"/>
                    </a:lnTo>
                    <a:lnTo>
                      <a:pt x="501" y="492"/>
                    </a:lnTo>
                    <a:lnTo>
                      <a:pt x="510" y="501"/>
                    </a:lnTo>
                    <a:lnTo>
                      <a:pt x="527" y="518"/>
                    </a:lnTo>
                    <a:lnTo>
                      <a:pt x="527" y="536"/>
                    </a:lnTo>
                    <a:lnTo>
                      <a:pt x="527" y="563"/>
                    </a:lnTo>
                    <a:lnTo>
                      <a:pt x="518" y="581"/>
                    </a:lnTo>
                    <a:lnTo>
                      <a:pt x="510" y="590"/>
                    </a:lnTo>
                    <a:lnTo>
                      <a:pt x="510" y="599"/>
                    </a:lnTo>
                    <a:lnTo>
                      <a:pt x="501" y="599"/>
                    </a:lnTo>
                    <a:lnTo>
                      <a:pt x="492" y="608"/>
                    </a:lnTo>
                    <a:lnTo>
                      <a:pt x="483" y="634"/>
                    </a:lnTo>
                    <a:lnTo>
                      <a:pt x="483" y="661"/>
                    </a:lnTo>
                    <a:lnTo>
                      <a:pt x="483" y="679"/>
                    </a:lnTo>
                    <a:lnTo>
                      <a:pt x="501" y="688"/>
                    </a:lnTo>
                    <a:lnTo>
                      <a:pt x="518" y="697"/>
                    </a:lnTo>
                    <a:lnTo>
                      <a:pt x="527" y="706"/>
                    </a:lnTo>
                    <a:lnTo>
                      <a:pt x="545" y="706"/>
                    </a:lnTo>
                    <a:lnTo>
                      <a:pt x="563" y="715"/>
                    </a:lnTo>
                    <a:lnTo>
                      <a:pt x="572" y="724"/>
                    </a:lnTo>
                    <a:lnTo>
                      <a:pt x="572" y="751"/>
                    </a:lnTo>
                    <a:lnTo>
                      <a:pt x="572" y="759"/>
                    </a:lnTo>
                    <a:lnTo>
                      <a:pt x="590" y="777"/>
                    </a:lnTo>
                    <a:lnTo>
                      <a:pt x="608" y="786"/>
                    </a:lnTo>
                    <a:lnTo>
                      <a:pt x="617" y="804"/>
                    </a:lnTo>
                    <a:lnTo>
                      <a:pt x="617" y="822"/>
                    </a:lnTo>
                    <a:lnTo>
                      <a:pt x="617" y="840"/>
                    </a:lnTo>
                    <a:lnTo>
                      <a:pt x="626" y="858"/>
                    </a:lnTo>
                    <a:lnTo>
                      <a:pt x="617" y="867"/>
                    </a:lnTo>
                    <a:lnTo>
                      <a:pt x="599" y="893"/>
                    </a:lnTo>
                    <a:lnTo>
                      <a:pt x="599" y="911"/>
                    </a:lnTo>
                    <a:lnTo>
                      <a:pt x="617" y="938"/>
                    </a:lnTo>
                    <a:lnTo>
                      <a:pt x="635" y="956"/>
                    </a:lnTo>
                    <a:lnTo>
                      <a:pt x="661" y="965"/>
                    </a:lnTo>
                    <a:lnTo>
                      <a:pt x="688" y="965"/>
                    </a:lnTo>
                    <a:lnTo>
                      <a:pt x="706" y="965"/>
                    </a:lnTo>
                    <a:lnTo>
                      <a:pt x="706" y="992"/>
                    </a:lnTo>
                    <a:lnTo>
                      <a:pt x="706" y="1018"/>
                    </a:lnTo>
                    <a:lnTo>
                      <a:pt x="697" y="1117"/>
                    </a:lnTo>
                    <a:lnTo>
                      <a:pt x="706" y="1135"/>
                    </a:lnTo>
                    <a:lnTo>
                      <a:pt x="724" y="1143"/>
                    </a:lnTo>
                    <a:lnTo>
                      <a:pt x="742" y="1161"/>
                    </a:lnTo>
                    <a:lnTo>
                      <a:pt x="751" y="1179"/>
                    </a:lnTo>
                    <a:lnTo>
                      <a:pt x="742" y="1197"/>
                    </a:lnTo>
                    <a:lnTo>
                      <a:pt x="742" y="1215"/>
                    </a:lnTo>
                    <a:lnTo>
                      <a:pt x="733" y="1224"/>
                    </a:lnTo>
                    <a:lnTo>
                      <a:pt x="706" y="1224"/>
                    </a:lnTo>
                    <a:lnTo>
                      <a:pt x="688" y="1224"/>
                    </a:lnTo>
                    <a:lnTo>
                      <a:pt x="688" y="1224"/>
                    </a:lnTo>
                    <a:lnTo>
                      <a:pt x="679" y="1233"/>
                    </a:lnTo>
                    <a:lnTo>
                      <a:pt x="661" y="1233"/>
                    </a:lnTo>
                    <a:lnTo>
                      <a:pt x="661" y="1224"/>
                    </a:lnTo>
                    <a:lnTo>
                      <a:pt x="644" y="1197"/>
                    </a:lnTo>
                    <a:lnTo>
                      <a:pt x="626" y="1188"/>
                    </a:lnTo>
                    <a:lnTo>
                      <a:pt x="608" y="1188"/>
                    </a:lnTo>
                    <a:lnTo>
                      <a:pt x="590" y="1179"/>
                    </a:lnTo>
                    <a:lnTo>
                      <a:pt x="572" y="1170"/>
                    </a:lnTo>
                    <a:lnTo>
                      <a:pt x="563" y="1161"/>
                    </a:lnTo>
                    <a:lnTo>
                      <a:pt x="572" y="1152"/>
                    </a:lnTo>
                    <a:lnTo>
                      <a:pt x="590" y="1152"/>
                    </a:lnTo>
                    <a:lnTo>
                      <a:pt x="590" y="1143"/>
                    </a:lnTo>
                    <a:lnTo>
                      <a:pt x="581" y="1143"/>
                    </a:lnTo>
                    <a:lnTo>
                      <a:pt x="563" y="1143"/>
                    </a:lnTo>
                    <a:lnTo>
                      <a:pt x="554" y="1135"/>
                    </a:lnTo>
                    <a:lnTo>
                      <a:pt x="536" y="1143"/>
                    </a:lnTo>
                    <a:lnTo>
                      <a:pt x="510" y="1152"/>
                    </a:lnTo>
                    <a:lnTo>
                      <a:pt x="492" y="1152"/>
                    </a:lnTo>
                    <a:lnTo>
                      <a:pt x="474" y="1143"/>
                    </a:lnTo>
                    <a:lnTo>
                      <a:pt x="465" y="1126"/>
                    </a:lnTo>
                    <a:lnTo>
                      <a:pt x="465" y="1108"/>
                    </a:lnTo>
                    <a:lnTo>
                      <a:pt x="456" y="1099"/>
                    </a:lnTo>
                    <a:lnTo>
                      <a:pt x="447" y="1099"/>
                    </a:lnTo>
                    <a:lnTo>
                      <a:pt x="429" y="1090"/>
                    </a:lnTo>
                    <a:lnTo>
                      <a:pt x="429" y="1072"/>
                    </a:lnTo>
                    <a:lnTo>
                      <a:pt x="429" y="1063"/>
                    </a:lnTo>
                    <a:lnTo>
                      <a:pt x="420" y="1063"/>
                    </a:lnTo>
                    <a:lnTo>
                      <a:pt x="393" y="1063"/>
                    </a:lnTo>
                    <a:lnTo>
                      <a:pt x="385" y="1081"/>
                    </a:lnTo>
                    <a:lnTo>
                      <a:pt x="367" y="1081"/>
                    </a:lnTo>
                    <a:lnTo>
                      <a:pt x="340" y="1081"/>
                    </a:lnTo>
                    <a:lnTo>
                      <a:pt x="331" y="1072"/>
                    </a:lnTo>
                    <a:lnTo>
                      <a:pt x="322" y="1054"/>
                    </a:lnTo>
                    <a:lnTo>
                      <a:pt x="304" y="1027"/>
                    </a:lnTo>
                    <a:lnTo>
                      <a:pt x="277" y="1010"/>
                    </a:lnTo>
                    <a:lnTo>
                      <a:pt x="251" y="1001"/>
                    </a:lnTo>
                    <a:lnTo>
                      <a:pt x="233" y="992"/>
                    </a:lnTo>
                    <a:lnTo>
                      <a:pt x="206" y="956"/>
                    </a:lnTo>
                    <a:lnTo>
                      <a:pt x="197" y="929"/>
                    </a:lnTo>
                    <a:lnTo>
                      <a:pt x="170" y="911"/>
                    </a:lnTo>
                    <a:lnTo>
                      <a:pt x="170" y="893"/>
                    </a:lnTo>
                    <a:lnTo>
                      <a:pt x="179" y="876"/>
                    </a:lnTo>
                    <a:lnTo>
                      <a:pt x="179" y="858"/>
                    </a:lnTo>
                    <a:lnTo>
                      <a:pt x="188" y="849"/>
                    </a:lnTo>
                    <a:lnTo>
                      <a:pt x="197" y="849"/>
                    </a:lnTo>
                    <a:lnTo>
                      <a:pt x="206" y="849"/>
                    </a:lnTo>
                    <a:lnTo>
                      <a:pt x="215" y="849"/>
                    </a:lnTo>
                    <a:lnTo>
                      <a:pt x="215" y="831"/>
                    </a:lnTo>
                    <a:lnTo>
                      <a:pt x="206" y="831"/>
                    </a:lnTo>
                    <a:lnTo>
                      <a:pt x="188" y="822"/>
                    </a:lnTo>
                    <a:lnTo>
                      <a:pt x="170" y="813"/>
                    </a:lnTo>
                    <a:lnTo>
                      <a:pt x="152" y="813"/>
                    </a:lnTo>
                    <a:lnTo>
                      <a:pt x="125" y="813"/>
                    </a:lnTo>
                    <a:lnTo>
                      <a:pt x="108" y="813"/>
                    </a:lnTo>
                    <a:lnTo>
                      <a:pt x="99" y="813"/>
                    </a:lnTo>
                    <a:lnTo>
                      <a:pt x="90" y="804"/>
                    </a:lnTo>
                    <a:lnTo>
                      <a:pt x="90" y="795"/>
                    </a:lnTo>
                    <a:lnTo>
                      <a:pt x="72" y="795"/>
                    </a:lnTo>
                    <a:lnTo>
                      <a:pt x="54" y="786"/>
                    </a:lnTo>
                    <a:lnTo>
                      <a:pt x="27" y="786"/>
                    </a:lnTo>
                    <a:lnTo>
                      <a:pt x="9" y="786"/>
                    </a:lnTo>
                    <a:lnTo>
                      <a:pt x="0" y="786"/>
                    </a:lnTo>
                    <a:lnTo>
                      <a:pt x="0" y="768"/>
                    </a:lnTo>
                  </a:path>
                </a:pathLst>
              </a:custGeom>
              <a:solidFill>
                <a:schemeClr val="accent6">
                  <a:lumMod val="60000"/>
                  <a:lumOff val="40000"/>
                </a:schemeClr>
              </a:solidFill>
              <a:ln w="342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26" name="Freeform 49">
                <a:extLst>
                  <a:ext uri="{FF2B5EF4-FFF2-40B4-BE49-F238E27FC236}">
                    <a16:creationId xmlns:a16="http://schemas.microsoft.com/office/drawing/2014/main" id="{00000000-0008-0000-0C00-00001A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519" y="7813"/>
                <a:ext cx="375" cy="402"/>
              </a:xfrm>
              <a:custGeom>
                <a:avLst/>
                <a:gdLst>
                  <a:gd name="T0" fmla="*/ 26 w 169"/>
                  <a:gd name="T1" fmla="*/ 27 h 170"/>
                  <a:gd name="T2" fmla="*/ 44 w 169"/>
                  <a:gd name="T3" fmla="*/ 27 h 170"/>
                  <a:gd name="T4" fmla="*/ 53 w 169"/>
                  <a:gd name="T5" fmla="*/ 36 h 170"/>
                  <a:gd name="T6" fmla="*/ 62 w 169"/>
                  <a:gd name="T7" fmla="*/ 45 h 170"/>
                  <a:gd name="T8" fmla="*/ 80 w 169"/>
                  <a:gd name="T9" fmla="*/ 54 h 170"/>
                  <a:gd name="T10" fmla="*/ 80 w 169"/>
                  <a:gd name="T11" fmla="*/ 45 h 170"/>
                  <a:gd name="T12" fmla="*/ 80 w 169"/>
                  <a:gd name="T13" fmla="*/ 36 h 170"/>
                  <a:gd name="T14" fmla="*/ 71 w 169"/>
                  <a:gd name="T15" fmla="*/ 18 h 170"/>
                  <a:gd name="T16" fmla="*/ 62 w 169"/>
                  <a:gd name="T17" fmla="*/ 9 h 170"/>
                  <a:gd name="T18" fmla="*/ 71 w 169"/>
                  <a:gd name="T19" fmla="*/ 0 h 170"/>
                  <a:gd name="T20" fmla="*/ 71 w 169"/>
                  <a:gd name="T21" fmla="*/ 0 h 170"/>
                  <a:gd name="T22" fmla="*/ 80 w 169"/>
                  <a:gd name="T23" fmla="*/ 0 h 170"/>
                  <a:gd name="T24" fmla="*/ 89 w 169"/>
                  <a:gd name="T25" fmla="*/ 0 h 170"/>
                  <a:gd name="T26" fmla="*/ 98 w 169"/>
                  <a:gd name="T27" fmla="*/ 0 h 170"/>
                  <a:gd name="T28" fmla="*/ 116 w 169"/>
                  <a:gd name="T29" fmla="*/ 9 h 170"/>
                  <a:gd name="T30" fmla="*/ 116 w 169"/>
                  <a:gd name="T31" fmla="*/ 18 h 170"/>
                  <a:gd name="T32" fmla="*/ 125 w 169"/>
                  <a:gd name="T33" fmla="*/ 27 h 170"/>
                  <a:gd name="T34" fmla="*/ 125 w 169"/>
                  <a:gd name="T35" fmla="*/ 36 h 170"/>
                  <a:gd name="T36" fmla="*/ 125 w 169"/>
                  <a:gd name="T37" fmla="*/ 45 h 170"/>
                  <a:gd name="T38" fmla="*/ 125 w 169"/>
                  <a:gd name="T39" fmla="*/ 54 h 170"/>
                  <a:gd name="T40" fmla="*/ 134 w 169"/>
                  <a:gd name="T41" fmla="*/ 63 h 170"/>
                  <a:gd name="T42" fmla="*/ 143 w 169"/>
                  <a:gd name="T43" fmla="*/ 63 h 170"/>
                  <a:gd name="T44" fmla="*/ 152 w 169"/>
                  <a:gd name="T45" fmla="*/ 63 h 170"/>
                  <a:gd name="T46" fmla="*/ 160 w 169"/>
                  <a:gd name="T47" fmla="*/ 72 h 170"/>
                  <a:gd name="T48" fmla="*/ 169 w 169"/>
                  <a:gd name="T49" fmla="*/ 80 h 170"/>
                  <a:gd name="T50" fmla="*/ 169 w 169"/>
                  <a:gd name="T51" fmla="*/ 80 h 170"/>
                  <a:gd name="T52" fmla="*/ 169 w 169"/>
                  <a:gd name="T53" fmla="*/ 98 h 170"/>
                  <a:gd name="T54" fmla="*/ 169 w 169"/>
                  <a:gd name="T55" fmla="*/ 107 h 170"/>
                  <a:gd name="T56" fmla="*/ 160 w 169"/>
                  <a:gd name="T57" fmla="*/ 116 h 170"/>
                  <a:gd name="T58" fmla="*/ 152 w 169"/>
                  <a:gd name="T59" fmla="*/ 116 h 170"/>
                  <a:gd name="T60" fmla="*/ 134 w 169"/>
                  <a:gd name="T61" fmla="*/ 116 h 170"/>
                  <a:gd name="T62" fmla="*/ 125 w 169"/>
                  <a:gd name="T63" fmla="*/ 125 h 170"/>
                  <a:gd name="T64" fmla="*/ 134 w 169"/>
                  <a:gd name="T65" fmla="*/ 134 h 170"/>
                  <a:gd name="T66" fmla="*/ 134 w 169"/>
                  <a:gd name="T67" fmla="*/ 143 h 170"/>
                  <a:gd name="T68" fmla="*/ 134 w 169"/>
                  <a:gd name="T69" fmla="*/ 152 h 170"/>
                  <a:gd name="T70" fmla="*/ 134 w 169"/>
                  <a:gd name="T71" fmla="*/ 161 h 170"/>
                  <a:gd name="T72" fmla="*/ 125 w 169"/>
                  <a:gd name="T73" fmla="*/ 170 h 170"/>
                  <a:gd name="T74" fmla="*/ 116 w 169"/>
                  <a:gd name="T75" fmla="*/ 170 h 170"/>
                  <a:gd name="T76" fmla="*/ 107 w 169"/>
                  <a:gd name="T77" fmla="*/ 170 h 170"/>
                  <a:gd name="T78" fmla="*/ 89 w 169"/>
                  <a:gd name="T79" fmla="*/ 170 h 170"/>
                  <a:gd name="T80" fmla="*/ 62 w 169"/>
                  <a:gd name="T81" fmla="*/ 170 h 170"/>
                  <a:gd name="T82" fmla="*/ 44 w 169"/>
                  <a:gd name="T83" fmla="*/ 170 h 170"/>
                  <a:gd name="T84" fmla="*/ 35 w 169"/>
                  <a:gd name="T85" fmla="*/ 161 h 170"/>
                  <a:gd name="T86" fmla="*/ 26 w 169"/>
                  <a:gd name="T87" fmla="*/ 161 h 170"/>
                  <a:gd name="T88" fmla="*/ 18 w 169"/>
                  <a:gd name="T89" fmla="*/ 152 h 170"/>
                  <a:gd name="T90" fmla="*/ 18 w 169"/>
                  <a:gd name="T91" fmla="*/ 134 h 170"/>
                  <a:gd name="T92" fmla="*/ 9 w 169"/>
                  <a:gd name="T93" fmla="*/ 116 h 170"/>
                  <a:gd name="T94" fmla="*/ 0 w 169"/>
                  <a:gd name="T95" fmla="*/ 107 h 170"/>
                  <a:gd name="T96" fmla="*/ 0 w 169"/>
                  <a:gd name="T97" fmla="*/ 98 h 170"/>
                  <a:gd name="T98" fmla="*/ 0 w 169"/>
                  <a:gd name="T99" fmla="*/ 98 h 170"/>
                  <a:gd name="T100" fmla="*/ 9 w 169"/>
                  <a:gd name="T101" fmla="*/ 89 h 170"/>
                  <a:gd name="T102" fmla="*/ 9 w 169"/>
                  <a:gd name="T103" fmla="*/ 80 h 170"/>
                  <a:gd name="T104" fmla="*/ 9 w 169"/>
                  <a:gd name="T105" fmla="*/ 72 h 170"/>
                  <a:gd name="T106" fmla="*/ 18 w 169"/>
                  <a:gd name="T107" fmla="*/ 72 h 170"/>
                  <a:gd name="T108" fmla="*/ 26 w 169"/>
                  <a:gd name="T109" fmla="*/ 63 h 170"/>
                  <a:gd name="T110" fmla="*/ 18 w 169"/>
                  <a:gd name="T111" fmla="*/ 54 h 170"/>
                  <a:gd name="T112" fmla="*/ 18 w 169"/>
                  <a:gd name="T113" fmla="*/ 45 h 170"/>
                  <a:gd name="T114" fmla="*/ 18 w 169"/>
                  <a:gd name="T115" fmla="*/ 36 h 17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</a:cxnLst>
                <a:rect l="0" t="0" r="r" b="b"/>
                <a:pathLst>
                  <a:path w="169" h="170">
                    <a:moveTo>
                      <a:pt x="18" y="27"/>
                    </a:moveTo>
                    <a:lnTo>
                      <a:pt x="18" y="27"/>
                    </a:lnTo>
                    <a:lnTo>
                      <a:pt x="18" y="27"/>
                    </a:lnTo>
                    <a:lnTo>
                      <a:pt x="26" y="27"/>
                    </a:lnTo>
                    <a:lnTo>
                      <a:pt x="26" y="27"/>
                    </a:lnTo>
                    <a:lnTo>
                      <a:pt x="26" y="27"/>
                    </a:lnTo>
                    <a:lnTo>
                      <a:pt x="26" y="27"/>
                    </a:lnTo>
                    <a:lnTo>
                      <a:pt x="35" y="27"/>
                    </a:lnTo>
                    <a:lnTo>
                      <a:pt x="35" y="27"/>
                    </a:lnTo>
                    <a:lnTo>
                      <a:pt x="35" y="27"/>
                    </a:lnTo>
                    <a:lnTo>
                      <a:pt x="35" y="27"/>
                    </a:lnTo>
                    <a:lnTo>
                      <a:pt x="44" y="27"/>
                    </a:lnTo>
                    <a:lnTo>
                      <a:pt x="44" y="36"/>
                    </a:lnTo>
                    <a:lnTo>
                      <a:pt x="44" y="36"/>
                    </a:lnTo>
                    <a:lnTo>
                      <a:pt x="44" y="36"/>
                    </a:lnTo>
                    <a:lnTo>
                      <a:pt x="44" y="36"/>
                    </a:lnTo>
                    <a:lnTo>
                      <a:pt x="53" y="36"/>
                    </a:lnTo>
                    <a:lnTo>
                      <a:pt x="53" y="36"/>
                    </a:lnTo>
                    <a:lnTo>
                      <a:pt x="53" y="36"/>
                    </a:lnTo>
                    <a:lnTo>
                      <a:pt x="53" y="45"/>
                    </a:lnTo>
                    <a:lnTo>
                      <a:pt x="62" y="45"/>
                    </a:lnTo>
                    <a:lnTo>
                      <a:pt x="62" y="45"/>
                    </a:lnTo>
                    <a:lnTo>
                      <a:pt x="62" y="45"/>
                    </a:lnTo>
                    <a:lnTo>
                      <a:pt x="62" y="45"/>
                    </a:lnTo>
                    <a:lnTo>
                      <a:pt x="71" y="45"/>
                    </a:lnTo>
                    <a:lnTo>
                      <a:pt x="71" y="45"/>
                    </a:lnTo>
                    <a:lnTo>
                      <a:pt x="71" y="54"/>
                    </a:lnTo>
                    <a:lnTo>
                      <a:pt x="71" y="54"/>
                    </a:lnTo>
                    <a:lnTo>
                      <a:pt x="71" y="54"/>
                    </a:lnTo>
                    <a:lnTo>
                      <a:pt x="80" y="54"/>
                    </a:lnTo>
                    <a:lnTo>
                      <a:pt x="80" y="54"/>
                    </a:lnTo>
                    <a:lnTo>
                      <a:pt x="80" y="45"/>
                    </a:lnTo>
                    <a:lnTo>
                      <a:pt x="80" y="45"/>
                    </a:lnTo>
                    <a:lnTo>
                      <a:pt x="80" y="45"/>
                    </a:lnTo>
                    <a:lnTo>
                      <a:pt x="80" y="45"/>
                    </a:lnTo>
                    <a:lnTo>
                      <a:pt x="80" y="45"/>
                    </a:lnTo>
                    <a:lnTo>
                      <a:pt x="80" y="45"/>
                    </a:lnTo>
                    <a:lnTo>
                      <a:pt x="80" y="45"/>
                    </a:lnTo>
                    <a:lnTo>
                      <a:pt x="80" y="36"/>
                    </a:lnTo>
                    <a:lnTo>
                      <a:pt x="80" y="36"/>
                    </a:lnTo>
                    <a:lnTo>
                      <a:pt x="80" y="36"/>
                    </a:lnTo>
                    <a:lnTo>
                      <a:pt x="80" y="36"/>
                    </a:lnTo>
                    <a:lnTo>
                      <a:pt x="80" y="36"/>
                    </a:lnTo>
                    <a:lnTo>
                      <a:pt x="71" y="27"/>
                    </a:lnTo>
                    <a:lnTo>
                      <a:pt x="71" y="27"/>
                    </a:lnTo>
                    <a:lnTo>
                      <a:pt x="71" y="27"/>
                    </a:lnTo>
                    <a:lnTo>
                      <a:pt x="71" y="27"/>
                    </a:lnTo>
                    <a:lnTo>
                      <a:pt x="71" y="18"/>
                    </a:lnTo>
                    <a:lnTo>
                      <a:pt x="62" y="18"/>
                    </a:lnTo>
                    <a:lnTo>
                      <a:pt x="62" y="18"/>
                    </a:lnTo>
                    <a:lnTo>
                      <a:pt x="62" y="18"/>
                    </a:lnTo>
                    <a:lnTo>
                      <a:pt x="62" y="18"/>
                    </a:lnTo>
                    <a:lnTo>
                      <a:pt x="62" y="9"/>
                    </a:lnTo>
                    <a:lnTo>
                      <a:pt x="62" y="9"/>
                    </a:lnTo>
                    <a:lnTo>
                      <a:pt x="71" y="9"/>
                    </a:lnTo>
                    <a:lnTo>
                      <a:pt x="71" y="9"/>
                    </a:lnTo>
                    <a:lnTo>
                      <a:pt x="71" y="9"/>
                    </a:lnTo>
                    <a:lnTo>
                      <a:pt x="71" y="9"/>
                    </a:lnTo>
                    <a:lnTo>
                      <a:pt x="71" y="9"/>
                    </a:lnTo>
                    <a:lnTo>
                      <a:pt x="71" y="0"/>
                    </a:lnTo>
                    <a:lnTo>
                      <a:pt x="71" y="0"/>
                    </a:lnTo>
                    <a:lnTo>
                      <a:pt x="71" y="0"/>
                    </a:lnTo>
                    <a:lnTo>
                      <a:pt x="71" y="0"/>
                    </a:lnTo>
                    <a:lnTo>
                      <a:pt x="71" y="0"/>
                    </a:lnTo>
                    <a:lnTo>
                      <a:pt x="71" y="0"/>
                    </a:lnTo>
                    <a:lnTo>
                      <a:pt x="71" y="0"/>
                    </a:lnTo>
                    <a:lnTo>
                      <a:pt x="80" y="0"/>
                    </a:lnTo>
                    <a:lnTo>
                      <a:pt x="80" y="0"/>
                    </a:lnTo>
                    <a:lnTo>
                      <a:pt x="80" y="0"/>
                    </a:lnTo>
                    <a:lnTo>
                      <a:pt x="80" y="0"/>
                    </a:lnTo>
                    <a:lnTo>
                      <a:pt x="80" y="0"/>
                    </a:lnTo>
                    <a:lnTo>
                      <a:pt x="80" y="0"/>
                    </a:lnTo>
                    <a:lnTo>
                      <a:pt x="89" y="0"/>
                    </a:lnTo>
                    <a:lnTo>
                      <a:pt x="89" y="0"/>
                    </a:lnTo>
                    <a:lnTo>
                      <a:pt x="89" y="0"/>
                    </a:lnTo>
                    <a:lnTo>
                      <a:pt x="89" y="0"/>
                    </a:lnTo>
                    <a:lnTo>
                      <a:pt x="89" y="0"/>
                    </a:lnTo>
                    <a:lnTo>
                      <a:pt x="89" y="0"/>
                    </a:lnTo>
                    <a:lnTo>
                      <a:pt x="98" y="0"/>
                    </a:lnTo>
                    <a:lnTo>
                      <a:pt x="98" y="0"/>
                    </a:lnTo>
                    <a:lnTo>
                      <a:pt x="98" y="0"/>
                    </a:lnTo>
                    <a:lnTo>
                      <a:pt x="98" y="0"/>
                    </a:lnTo>
                    <a:lnTo>
                      <a:pt x="98" y="0"/>
                    </a:lnTo>
                    <a:lnTo>
                      <a:pt x="98" y="0"/>
                    </a:lnTo>
                    <a:lnTo>
                      <a:pt x="107" y="0"/>
                    </a:lnTo>
                    <a:lnTo>
                      <a:pt x="107" y="0"/>
                    </a:lnTo>
                    <a:lnTo>
                      <a:pt x="107" y="9"/>
                    </a:lnTo>
                    <a:lnTo>
                      <a:pt x="107" y="9"/>
                    </a:lnTo>
                    <a:lnTo>
                      <a:pt x="107" y="9"/>
                    </a:lnTo>
                    <a:lnTo>
                      <a:pt x="116" y="9"/>
                    </a:lnTo>
                    <a:lnTo>
                      <a:pt x="116" y="9"/>
                    </a:lnTo>
                    <a:lnTo>
                      <a:pt x="116" y="9"/>
                    </a:lnTo>
                    <a:lnTo>
                      <a:pt x="116" y="9"/>
                    </a:lnTo>
                    <a:lnTo>
                      <a:pt x="116" y="9"/>
                    </a:lnTo>
                    <a:lnTo>
                      <a:pt x="116" y="18"/>
                    </a:lnTo>
                    <a:lnTo>
                      <a:pt x="116" y="18"/>
                    </a:lnTo>
                    <a:lnTo>
                      <a:pt x="116" y="18"/>
                    </a:lnTo>
                    <a:lnTo>
                      <a:pt x="116" y="18"/>
                    </a:lnTo>
                    <a:lnTo>
                      <a:pt x="125" y="18"/>
                    </a:lnTo>
                    <a:lnTo>
                      <a:pt x="125" y="18"/>
                    </a:lnTo>
                    <a:lnTo>
                      <a:pt x="125" y="18"/>
                    </a:lnTo>
                    <a:lnTo>
                      <a:pt x="125" y="27"/>
                    </a:lnTo>
                    <a:lnTo>
                      <a:pt x="125" y="27"/>
                    </a:lnTo>
                    <a:lnTo>
                      <a:pt x="125" y="27"/>
                    </a:lnTo>
                    <a:lnTo>
                      <a:pt x="125" y="27"/>
                    </a:lnTo>
                    <a:lnTo>
                      <a:pt x="125" y="27"/>
                    </a:lnTo>
                    <a:lnTo>
                      <a:pt x="125" y="27"/>
                    </a:lnTo>
                    <a:lnTo>
                      <a:pt x="125" y="36"/>
                    </a:lnTo>
                    <a:lnTo>
                      <a:pt x="125" y="36"/>
                    </a:lnTo>
                    <a:lnTo>
                      <a:pt x="125" y="36"/>
                    </a:lnTo>
                    <a:lnTo>
                      <a:pt x="125" y="36"/>
                    </a:lnTo>
                    <a:lnTo>
                      <a:pt x="125" y="36"/>
                    </a:lnTo>
                    <a:lnTo>
                      <a:pt x="125" y="45"/>
                    </a:lnTo>
                    <a:lnTo>
                      <a:pt x="125" y="45"/>
                    </a:lnTo>
                    <a:lnTo>
                      <a:pt x="125" y="45"/>
                    </a:lnTo>
                    <a:lnTo>
                      <a:pt x="125" y="45"/>
                    </a:lnTo>
                    <a:lnTo>
                      <a:pt x="125" y="45"/>
                    </a:lnTo>
                    <a:lnTo>
                      <a:pt x="125" y="54"/>
                    </a:lnTo>
                    <a:lnTo>
                      <a:pt x="125" y="54"/>
                    </a:lnTo>
                    <a:lnTo>
                      <a:pt x="125" y="54"/>
                    </a:lnTo>
                    <a:lnTo>
                      <a:pt x="125" y="54"/>
                    </a:lnTo>
                    <a:lnTo>
                      <a:pt x="125" y="54"/>
                    </a:lnTo>
                    <a:lnTo>
                      <a:pt x="125" y="63"/>
                    </a:lnTo>
                    <a:lnTo>
                      <a:pt x="134" y="63"/>
                    </a:lnTo>
                    <a:lnTo>
                      <a:pt x="134" y="63"/>
                    </a:lnTo>
                    <a:lnTo>
                      <a:pt x="134" y="63"/>
                    </a:lnTo>
                    <a:lnTo>
                      <a:pt x="134" y="63"/>
                    </a:lnTo>
                    <a:lnTo>
                      <a:pt x="143" y="63"/>
                    </a:lnTo>
                    <a:lnTo>
                      <a:pt x="143" y="63"/>
                    </a:lnTo>
                    <a:lnTo>
                      <a:pt x="143" y="63"/>
                    </a:lnTo>
                    <a:lnTo>
                      <a:pt x="143" y="63"/>
                    </a:lnTo>
                    <a:lnTo>
                      <a:pt x="143" y="63"/>
                    </a:lnTo>
                    <a:lnTo>
                      <a:pt x="143" y="63"/>
                    </a:lnTo>
                    <a:lnTo>
                      <a:pt x="152" y="63"/>
                    </a:lnTo>
                    <a:lnTo>
                      <a:pt x="152" y="63"/>
                    </a:lnTo>
                    <a:lnTo>
                      <a:pt x="152" y="63"/>
                    </a:lnTo>
                    <a:lnTo>
                      <a:pt x="152" y="63"/>
                    </a:lnTo>
                    <a:lnTo>
                      <a:pt x="152" y="63"/>
                    </a:lnTo>
                    <a:lnTo>
                      <a:pt x="152" y="63"/>
                    </a:lnTo>
                    <a:lnTo>
                      <a:pt x="152" y="63"/>
                    </a:lnTo>
                    <a:lnTo>
                      <a:pt x="160" y="63"/>
                    </a:lnTo>
                    <a:lnTo>
                      <a:pt x="160" y="63"/>
                    </a:lnTo>
                    <a:lnTo>
                      <a:pt x="160" y="72"/>
                    </a:lnTo>
                    <a:lnTo>
                      <a:pt x="160" y="72"/>
                    </a:lnTo>
                    <a:lnTo>
                      <a:pt x="160" y="72"/>
                    </a:lnTo>
                    <a:lnTo>
                      <a:pt x="160" y="72"/>
                    </a:lnTo>
                    <a:lnTo>
                      <a:pt x="160" y="72"/>
                    </a:lnTo>
                    <a:lnTo>
                      <a:pt x="169" y="72"/>
                    </a:lnTo>
                    <a:lnTo>
                      <a:pt x="169" y="72"/>
                    </a:lnTo>
                    <a:lnTo>
                      <a:pt x="169" y="80"/>
                    </a:lnTo>
                    <a:lnTo>
                      <a:pt x="169" y="80"/>
                    </a:lnTo>
                    <a:lnTo>
                      <a:pt x="169" y="80"/>
                    </a:lnTo>
                    <a:lnTo>
                      <a:pt x="169" y="80"/>
                    </a:lnTo>
                    <a:lnTo>
                      <a:pt x="169" y="80"/>
                    </a:lnTo>
                    <a:lnTo>
                      <a:pt x="169" y="80"/>
                    </a:lnTo>
                    <a:lnTo>
                      <a:pt x="169" y="80"/>
                    </a:lnTo>
                    <a:lnTo>
                      <a:pt x="169" y="89"/>
                    </a:lnTo>
                    <a:lnTo>
                      <a:pt x="169" y="89"/>
                    </a:lnTo>
                    <a:lnTo>
                      <a:pt x="169" y="89"/>
                    </a:lnTo>
                    <a:lnTo>
                      <a:pt x="169" y="89"/>
                    </a:lnTo>
                    <a:lnTo>
                      <a:pt x="169" y="89"/>
                    </a:lnTo>
                    <a:lnTo>
                      <a:pt x="169" y="98"/>
                    </a:lnTo>
                    <a:lnTo>
                      <a:pt x="169" y="98"/>
                    </a:lnTo>
                    <a:lnTo>
                      <a:pt x="169" y="98"/>
                    </a:lnTo>
                    <a:lnTo>
                      <a:pt x="169" y="98"/>
                    </a:lnTo>
                    <a:lnTo>
                      <a:pt x="169" y="107"/>
                    </a:lnTo>
                    <a:lnTo>
                      <a:pt x="169" y="107"/>
                    </a:lnTo>
                    <a:lnTo>
                      <a:pt x="169" y="107"/>
                    </a:lnTo>
                    <a:lnTo>
                      <a:pt x="169" y="107"/>
                    </a:lnTo>
                    <a:lnTo>
                      <a:pt x="169" y="107"/>
                    </a:lnTo>
                    <a:lnTo>
                      <a:pt x="169" y="116"/>
                    </a:lnTo>
                    <a:lnTo>
                      <a:pt x="169" y="116"/>
                    </a:lnTo>
                    <a:lnTo>
                      <a:pt x="160" y="116"/>
                    </a:lnTo>
                    <a:lnTo>
                      <a:pt x="160" y="116"/>
                    </a:lnTo>
                    <a:lnTo>
                      <a:pt x="160" y="116"/>
                    </a:lnTo>
                    <a:lnTo>
                      <a:pt x="160" y="116"/>
                    </a:lnTo>
                    <a:lnTo>
                      <a:pt x="160" y="116"/>
                    </a:lnTo>
                    <a:lnTo>
                      <a:pt x="152" y="116"/>
                    </a:lnTo>
                    <a:lnTo>
                      <a:pt x="152" y="116"/>
                    </a:lnTo>
                    <a:lnTo>
                      <a:pt x="152" y="116"/>
                    </a:lnTo>
                    <a:lnTo>
                      <a:pt x="143" y="116"/>
                    </a:lnTo>
                    <a:lnTo>
                      <a:pt x="143" y="116"/>
                    </a:lnTo>
                    <a:lnTo>
                      <a:pt x="143" y="116"/>
                    </a:lnTo>
                    <a:lnTo>
                      <a:pt x="134" y="116"/>
                    </a:lnTo>
                    <a:lnTo>
                      <a:pt x="134" y="116"/>
                    </a:lnTo>
                    <a:lnTo>
                      <a:pt x="134" y="116"/>
                    </a:lnTo>
                    <a:lnTo>
                      <a:pt x="134" y="116"/>
                    </a:lnTo>
                    <a:lnTo>
                      <a:pt x="134" y="116"/>
                    </a:lnTo>
                    <a:lnTo>
                      <a:pt x="134" y="125"/>
                    </a:lnTo>
                    <a:lnTo>
                      <a:pt x="125" y="125"/>
                    </a:lnTo>
                    <a:lnTo>
                      <a:pt x="125" y="125"/>
                    </a:lnTo>
                    <a:lnTo>
                      <a:pt x="125" y="125"/>
                    </a:lnTo>
                    <a:lnTo>
                      <a:pt x="125" y="125"/>
                    </a:lnTo>
                    <a:lnTo>
                      <a:pt x="125" y="125"/>
                    </a:lnTo>
                    <a:lnTo>
                      <a:pt x="125" y="134"/>
                    </a:lnTo>
                    <a:lnTo>
                      <a:pt x="125" y="134"/>
                    </a:lnTo>
                    <a:lnTo>
                      <a:pt x="125" y="134"/>
                    </a:lnTo>
                    <a:lnTo>
                      <a:pt x="134" y="134"/>
                    </a:lnTo>
                    <a:lnTo>
                      <a:pt x="134" y="143"/>
                    </a:lnTo>
                    <a:lnTo>
                      <a:pt x="134" y="143"/>
                    </a:lnTo>
                    <a:lnTo>
                      <a:pt x="134" y="143"/>
                    </a:lnTo>
                    <a:lnTo>
                      <a:pt x="134" y="143"/>
                    </a:lnTo>
                    <a:lnTo>
                      <a:pt x="134" y="143"/>
                    </a:lnTo>
                    <a:lnTo>
                      <a:pt x="134" y="143"/>
                    </a:lnTo>
                    <a:lnTo>
                      <a:pt x="134" y="143"/>
                    </a:lnTo>
                    <a:lnTo>
                      <a:pt x="134" y="143"/>
                    </a:lnTo>
                    <a:lnTo>
                      <a:pt x="134" y="152"/>
                    </a:lnTo>
                    <a:lnTo>
                      <a:pt x="134" y="152"/>
                    </a:lnTo>
                    <a:lnTo>
                      <a:pt x="134" y="152"/>
                    </a:lnTo>
                    <a:lnTo>
                      <a:pt x="134" y="152"/>
                    </a:lnTo>
                    <a:lnTo>
                      <a:pt x="134" y="152"/>
                    </a:lnTo>
                    <a:lnTo>
                      <a:pt x="134" y="152"/>
                    </a:lnTo>
                    <a:lnTo>
                      <a:pt x="134" y="161"/>
                    </a:lnTo>
                    <a:lnTo>
                      <a:pt x="134" y="161"/>
                    </a:lnTo>
                    <a:lnTo>
                      <a:pt x="134" y="161"/>
                    </a:lnTo>
                    <a:lnTo>
                      <a:pt x="134" y="161"/>
                    </a:lnTo>
                    <a:lnTo>
                      <a:pt x="134" y="161"/>
                    </a:lnTo>
                    <a:lnTo>
                      <a:pt x="134" y="161"/>
                    </a:lnTo>
                    <a:lnTo>
                      <a:pt x="134" y="170"/>
                    </a:lnTo>
                    <a:lnTo>
                      <a:pt x="125" y="170"/>
                    </a:lnTo>
                    <a:lnTo>
                      <a:pt x="125" y="170"/>
                    </a:lnTo>
                    <a:lnTo>
                      <a:pt x="125" y="170"/>
                    </a:lnTo>
                    <a:lnTo>
                      <a:pt x="125" y="170"/>
                    </a:lnTo>
                    <a:lnTo>
                      <a:pt x="125" y="170"/>
                    </a:lnTo>
                    <a:lnTo>
                      <a:pt x="125" y="170"/>
                    </a:lnTo>
                    <a:lnTo>
                      <a:pt x="116" y="170"/>
                    </a:lnTo>
                    <a:lnTo>
                      <a:pt x="116" y="170"/>
                    </a:lnTo>
                    <a:lnTo>
                      <a:pt x="116" y="170"/>
                    </a:lnTo>
                    <a:lnTo>
                      <a:pt x="116" y="170"/>
                    </a:lnTo>
                    <a:lnTo>
                      <a:pt x="116" y="170"/>
                    </a:lnTo>
                    <a:lnTo>
                      <a:pt x="107" y="170"/>
                    </a:lnTo>
                    <a:lnTo>
                      <a:pt x="107" y="170"/>
                    </a:lnTo>
                    <a:lnTo>
                      <a:pt x="107" y="170"/>
                    </a:lnTo>
                    <a:lnTo>
                      <a:pt x="107" y="170"/>
                    </a:lnTo>
                    <a:lnTo>
                      <a:pt x="98" y="170"/>
                    </a:lnTo>
                    <a:lnTo>
                      <a:pt x="98" y="170"/>
                    </a:lnTo>
                    <a:lnTo>
                      <a:pt x="98" y="170"/>
                    </a:lnTo>
                    <a:lnTo>
                      <a:pt x="89" y="170"/>
                    </a:lnTo>
                    <a:lnTo>
                      <a:pt x="89" y="170"/>
                    </a:lnTo>
                    <a:lnTo>
                      <a:pt x="89" y="170"/>
                    </a:lnTo>
                    <a:lnTo>
                      <a:pt x="80" y="170"/>
                    </a:lnTo>
                    <a:lnTo>
                      <a:pt x="80" y="170"/>
                    </a:lnTo>
                    <a:lnTo>
                      <a:pt x="71" y="170"/>
                    </a:lnTo>
                    <a:lnTo>
                      <a:pt x="71" y="170"/>
                    </a:lnTo>
                    <a:lnTo>
                      <a:pt x="71" y="170"/>
                    </a:lnTo>
                    <a:lnTo>
                      <a:pt x="62" y="170"/>
                    </a:lnTo>
                    <a:lnTo>
                      <a:pt x="62" y="170"/>
                    </a:lnTo>
                    <a:lnTo>
                      <a:pt x="53" y="170"/>
                    </a:lnTo>
                    <a:lnTo>
                      <a:pt x="53" y="170"/>
                    </a:lnTo>
                    <a:lnTo>
                      <a:pt x="53" y="170"/>
                    </a:lnTo>
                    <a:lnTo>
                      <a:pt x="53" y="170"/>
                    </a:lnTo>
                    <a:lnTo>
                      <a:pt x="44" y="170"/>
                    </a:lnTo>
                    <a:lnTo>
                      <a:pt x="44" y="170"/>
                    </a:lnTo>
                    <a:lnTo>
                      <a:pt x="44" y="170"/>
                    </a:lnTo>
                    <a:lnTo>
                      <a:pt x="35" y="170"/>
                    </a:lnTo>
                    <a:lnTo>
                      <a:pt x="35" y="170"/>
                    </a:lnTo>
                    <a:lnTo>
                      <a:pt x="35" y="170"/>
                    </a:lnTo>
                    <a:lnTo>
                      <a:pt x="35" y="161"/>
                    </a:lnTo>
                    <a:lnTo>
                      <a:pt x="35" y="161"/>
                    </a:lnTo>
                    <a:lnTo>
                      <a:pt x="26" y="161"/>
                    </a:lnTo>
                    <a:lnTo>
                      <a:pt x="26" y="161"/>
                    </a:lnTo>
                    <a:lnTo>
                      <a:pt x="26" y="161"/>
                    </a:lnTo>
                    <a:lnTo>
                      <a:pt x="26" y="161"/>
                    </a:lnTo>
                    <a:lnTo>
                      <a:pt x="26" y="161"/>
                    </a:lnTo>
                    <a:lnTo>
                      <a:pt x="26" y="161"/>
                    </a:lnTo>
                    <a:lnTo>
                      <a:pt x="26" y="161"/>
                    </a:lnTo>
                    <a:lnTo>
                      <a:pt x="26" y="152"/>
                    </a:lnTo>
                    <a:lnTo>
                      <a:pt x="18" y="152"/>
                    </a:lnTo>
                    <a:lnTo>
                      <a:pt x="18" y="152"/>
                    </a:lnTo>
                    <a:lnTo>
                      <a:pt x="18" y="152"/>
                    </a:lnTo>
                    <a:lnTo>
                      <a:pt x="18" y="143"/>
                    </a:lnTo>
                    <a:lnTo>
                      <a:pt x="18" y="143"/>
                    </a:lnTo>
                    <a:lnTo>
                      <a:pt x="18" y="143"/>
                    </a:lnTo>
                    <a:lnTo>
                      <a:pt x="18" y="134"/>
                    </a:lnTo>
                    <a:lnTo>
                      <a:pt x="18" y="134"/>
                    </a:lnTo>
                    <a:lnTo>
                      <a:pt x="18" y="134"/>
                    </a:lnTo>
                    <a:lnTo>
                      <a:pt x="9" y="134"/>
                    </a:lnTo>
                    <a:lnTo>
                      <a:pt x="9" y="125"/>
                    </a:lnTo>
                    <a:lnTo>
                      <a:pt x="9" y="125"/>
                    </a:lnTo>
                    <a:lnTo>
                      <a:pt x="9" y="125"/>
                    </a:lnTo>
                    <a:lnTo>
                      <a:pt x="9" y="125"/>
                    </a:lnTo>
                    <a:lnTo>
                      <a:pt x="9" y="116"/>
                    </a:lnTo>
                    <a:lnTo>
                      <a:pt x="0" y="116"/>
                    </a:lnTo>
                    <a:lnTo>
                      <a:pt x="0" y="116"/>
                    </a:lnTo>
                    <a:lnTo>
                      <a:pt x="0" y="116"/>
                    </a:lnTo>
                    <a:lnTo>
                      <a:pt x="0" y="107"/>
                    </a:lnTo>
                    <a:lnTo>
                      <a:pt x="0" y="107"/>
                    </a:lnTo>
                    <a:lnTo>
                      <a:pt x="0" y="107"/>
                    </a:lnTo>
                    <a:lnTo>
                      <a:pt x="0" y="107"/>
                    </a:lnTo>
                    <a:lnTo>
                      <a:pt x="0" y="107"/>
                    </a:lnTo>
                    <a:lnTo>
                      <a:pt x="0" y="107"/>
                    </a:lnTo>
                    <a:lnTo>
                      <a:pt x="0" y="107"/>
                    </a:lnTo>
                    <a:lnTo>
                      <a:pt x="0" y="98"/>
                    </a:lnTo>
                    <a:lnTo>
                      <a:pt x="0" y="98"/>
                    </a:lnTo>
                    <a:lnTo>
                      <a:pt x="0" y="98"/>
                    </a:lnTo>
                    <a:lnTo>
                      <a:pt x="0" y="98"/>
                    </a:lnTo>
                    <a:lnTo>
                      <a:pt x="0" y="98"/>
                    </a:lnTo>
                    <a:lnTo>
                      <a:pt x="0" y="98"/>
                    </a:lnTo>
                    <a:lnTo>
                      <a:pt x="0" y="98"/>
                    </a:lnTo>
                    <a:lnTo>
                      <a:pt x="0" y="98"/>
                    </a:lnTo>
                    <a:lnTo>
                      <a:pt x="0" y="89"/>
                    </a:lnTo>
                    <a:lnTo>
                      <a:pt x="0" y="89"/>
                    </a:lnTo>
                    <a:lnTo>
                      <a:pt x="0" y="89"/>
                    </a:lnTo>
                    <a:lnTo>
                      <a:pt x="0" y="89"/>
                    </a:lnTo>
                    <a:lnTo>
                      <a:pt x="0" y="89"/>
                    </a:lnTo>
                    <a:lnTo>
                      <a:pt x="9" y="89"/>
                    </a:lnTo>
                    <a:lnTo>
                      <a:pt x="9" y="89"/>
                    </a:lnTo>
                    <a:lnTo>
                      <a:pt x="9" y="89"/>
                    </a:lnTo>
                    <a:lnTo>
                      <a:pt x="0" y="80"/>
                    </a:lnTo>
                    <a:lnTo>
                      <a:pt x="0" y="80"/>
                    </a:lnTo>
                    <a:lnTo>
                      <a:pt x="0" y="80"/>
                    </a:lnTo>
                    <a:lnTo>
                      <a:pt x="9" y="80"/>
                    </a:lnTo>
                    <a:lnTo>
                      <a:pt x="9" y="80"/>
                    </a:lnTo>
                    <a:lnTo>
                      <a:pt x="9" y="80"/>
                    </a:lnTo>
                    <a:lnTo>
                      <a:pt x="9" y="80"/>
                    </a:lnTo>
                    <a:lnTo>
                      <a:pt x="9" y="72"/>
                    </a:lnTo>
                    <a:lnTo>
                      <a:pt x="9" y="72"/>
                    </a:lnTo>
                    <a:lnTo>
                      <a:pt x="9" y="72"/>
                    </a:lnTo>
                    <a:lnTo>
                      <a:pt x="9" y="72"/>
                    </a:lnTo>
                    <a:lnTo>
                      <a:pt x="9" y="72"/>
                    </a:lnTo>
                    <a:lnTo>
                      <a:pt x="9" y="72"/>
                    </a:lnTo>
                    <a:lnTo>
                      <a:pt x="18" y="72"/>
                    </a:lnTo>
                    <a:lnTo>
                      <a:pt x="18" y="72"/>
                    </a:lnTo>
                    <a:lnTo>
                      <a:pt x="18" y="72"/>
                    </a:lnTo>
                    <a:lnTo>
                      <a:pt x="18" y="72"/>
                    </a:lnTo>
                    <a:lnTo>
                      <a:pt x="18" y="72"/>
                    </a:lnTo>
                    <a:lnTo>
                      <a:pt x="18" y="72"/>
                    </a:lnTo>
                    <a:lnTo>
                      <a:pt x="18" y="72"/>
                    </a:lnTo>
                    <a:lnTo>
                      <a:pt x="26" y="63"/>
                    </a:lnTo>
                    <a:lnTo>
                      <a:pt x="26" y="63"/>
                    </a:lnTo>
                    <a:lnTo>
                      <a:pt x="18" y="63"/>
                    </a:lnTo>
                    <a:lnTo>
                      <a:pt x="18" y="63"/>
                    </a:lnTo>
                    <a:lnTo>
                      <a:pt x="18" y="63"/>
                    </a:lnTo>
                    <a:lnTo>
                      <a:pt x="18" y="63"/>
                    </a:lnTo>
                    <a:lnTo>
                      <a:pt x="18" y="54"/>
                    </a:lnTo>
                    <a:lnTo>
                      <a:pt x="18" y="54"/>
                    </a:lnTo>
                    <a:lnTo>
                      <a:pt x="18" y="54"/>
                    </a:lnTo>
                    <a:lnTo>
                      <a:pt x="18" y="54"/>
                    </a:lnTo>
                    <a:lnTo>
                      <a:pt x="18" y="54"/>
                    </a:lnTo>
                    <a:lnTo>
                      <a:pt x="18" y="45"/>
                    </a:lnTo>
                    <a:lnTo>
                      <a:pt x="18" y="45"/>
                    </a:lnTo>
                    <a:lnTo>
                      <a:pt x="18" y="45"/>
                    </a:lnTo>
                    <a:lnTo>
                      <a:pt x="18" y="45"/>
                    </a:lnTo>
                    <a:lnTo>
                      <a:pt x="18" y="45"/>
                    </a:lnTo>
                    <a:lnTo>
                      <a:pt x="18" y="36"/>
                    </a:lnTo>
                    <a:lnTo>
                      <a:pt x="18" y="36"/>
                    </a:lnTo>
                    <a:lnTo>
                      <a:pt x="18" y="36"/>
                    </a:lnTo>
                    <a:lnTo>
                      <a:pt x="18" y="36"/>
                    </a:lnTo>
                    <a:lnTo>
                      <a:pt x="18" y="36"/>
                    </a:lnTo>
                    <a:lnTo>
                      <a:pt x="18" y="36"/>
                    </a:lnTo>
                    <a:lnTo>
                      <a:pt x="18" y="36"/>
                    </a:lnTo>
                    <a:lnTo>
                      <a:pt x="18" y="36"/>
                    </a:lnTo>
                    <a:lnTo>
                      <a:pt x="18" y="27"/>
                    </a:lnTo>
                  </a:path>
                </a:pathLst>
              </a:custGeom>
              <a:solidFill>
                <a:schemeClr val="accent6">
                  <a:lumMod val="60000"/>
                  <a:lumOff val="40000"/>
                </a:schemeClr>
              </a:solidFill>
              <a:ln w="88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27" name="Freeform 50">
                <a:extLst>
                  <a:ext uri="{FF2B5EF4-FFF2-40B4-BE49-F238E27FC236}">
                    <a16:creationId xmlns:a16="http://schemas.microsoft.com/office/drawing/2014/main" id="{00000000-0008-0000-0C00-00001B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243" y="6306"/>
                <a:ext cx="1335" cy="1407"/>
              </a:xfrm>
              <a:custGeom>
                <a:avLst/>
                <a:gdLst>
                  <a:gd name="T0" fmla="*/ 220 w 1287"/>
                  <a:gd name="T1" fmla="*/ 16 h 1324"/>
                  <a:gd name="T2" fmla="*/ 190 w 1287"/>
                  <a:gd name="T3" fmla="*/ 46 h 1324"/>
                  <a:gd name="T4" fmla="*/ 211 w 1287"/>
                  <a:gd name="T5" fmla="*/ 141 h 1324"/>
                  <a:gd name="T6" fmla="*/ 74 w 1287"/>
                  <a:gd name="T7" fmla="*/ 205 h 1324"/>
                  <a:gd name="T8" fmla="*/ 23 w 1287"/>
                  <a:gd name="T9" fmla="*/ 299 h 1324"/>
                  <a:gd name="T10" fmla="*/ 36 w 1287"/>
                  <a:gd name="T11" fmla="*/ 351 h 1324"/>
                  <a:gd name="T12" fmla="*/ 36 w 1287"/>
                  <a:gd name="T13" fmla="*/ 556 h 1324"/>
                  <a:gd name="T14" fmla="*/ 108 w 1287"/>
                  <a:gd name="T15" fmla="*/ 616 h 1324"/>
                  <a:gd name="T16" fmla="*/ 177 w 1287"/>
                  <a:gd name="T17" fmla="*/ 745 h 1324"/>
                  <a:gd name="T18" fmla="*/ 203 w 1287"/>
                  <a:gd name="T19" fmla="*/ 818 h 1324"/>
                  <a:gd name="T20" fmla="*/ 336 w 1287"/>
                  <a:gd name="T21" fmla="*/ 916 h 1324"/>
                  <a:gd name="T22" fmla="*/ 370 w 1287"/>
                  <a:gd name="T23" fmla="*/ 981 h 1324"/>
                  <a:gd name="T24" fmla="*/ 460 w 1287"/>
                  <a:gd name="T25" fmla="*/ 1054 h 1324"/>
                  <a:gd name="T26" fmla="*/ 550 w 1287"/>
                  <a:gd name="T27" fmla="*/ 1088 h 1324"/>
                  <a:gd name="T28" fmla="*/ 601 w 1287"/>
                  <a:gd name="T29" fmla="*/ 1225 h 1324"/>
                  <a:gd name="T30" fmla="*/ 657 w 1287"/>
                  <a:gd name="T31" fmla="*/ 1246 h 1324"/>
                  <a:gd name="T32" fmla="*/ 717 w 1287"/>
                  <a:gd name="T33" fmla="*/ 1251 h 1324"/>
                  <a:gd name="T34" fmla="*/ 756 w 1287"/>
                  <a:gd name="T35" fmla="*/ 1285 h 1324"/>
                  <a:gd name="T36" fmla="*/ 1047 w 1287"/>
                  <a:gd name="T37" fmla="*/ 1294 h 1324"/>
                  <a:gd name="T38" fmla="*/ 1051 w 1287"/>
                  <a:gd name="T39" fmla="*/ 1251 h 1324"/>
                  <a:gd name="T40" fmla="*/ 1030 w 1287"/>
                  <a:gd name="T41" fmla="*/ 1015 h 1324"/>
                  <a:gd name="T42" fmla="*/ 1081 w 1287"/>
                  <a:gd name="T43" fmla="*/ 938 h 1324"/>
                  <a:gd name="T44" fmla="*/ 1128 w 1287"/>
                  <a:gd name="T45" fmla="*/ 831 h 1324"/>
                  <a:gd name="T46" fmla="*/ 1193 w 1287"/>
                  <a:gd name="T47" fmla="*/ 754 h 1324"/>
                  <a:gd name="T48" fmla="*/ 1124 w 1287"/>
                  <a:gd name="T49" fmla="*/ 642 h 1324"/>
                  <a:gd name="T50" fmla="*/ 1227 w 1287"/>
                  <a:gd name="T51" fmla="*/ 599 h 1324"/>
                  <a:gd name="T52" fmla="*/ 1287 w 1287"/>
                  <a:gd name="T53" fmla="*/ 535 h 1324"/>
                  <a:gd name="T54" fmla="*/ 1188 w 1287"/>
                  <a:gd name="T55" fmla="*/ 432 h 1324"/>
                  <a:gd name="T56" fmla="*/ 1167 w 1287"/>
                  <a:gd name="T57" fmla="*/ 359 h 1324"/>
                  <a:gd name="T58" fmla="*/ 1270 w 1287"/>
                  <a:gd name="T59" fmla="*/ 338 h 1324"/>
                  <a:gd name="T60" fmla="*/ 1158 w 1287"/>
                  <a:gd name="T61" fmla="*/ 278 h 1324"/>
                  <a:gd name="T62" fmla="*/ 897 w 1287"/>
                  <a:gd name="T63" fmla="*/ 286 h 1324"/>
                  <a:gd name="T64" fmla="*/ 794 w 1287"/>
                  <a:gd name="T65" fmla="*/ 188 h 1324"/>
                  <a:gd name="T66" fmla="*/ 674 w 1287"/>
                  <a:gd name="T67" fmla="*/ 46 h 1324"/>
                  <a:gd name="T68" fmla="*/ 636 w 1287"/>
                  <a:gd name="T69" fmla="*/ 76 h 1324"/>
                  <a:gd name="T70" fmla="*/ 666 w 1287"/>
                  <a:gd name="T71" fmla="*/ 102 h 1324"/>
                  <a:gd name="T72" fmla="*/ 713 w 1287"/>
                  <a:gd name="T73" fmla="*/ 171 h 1324"/>
                  <a:gd name="T74" fmla="*/ 721 w 1287"/>
                  <a:gd name="T75" fmla="*/ 269 h 1324"/>
                  <a:gd name="T76" fmla="*/ 558 w 1287"/>
                  <a:gd name="T77" fmla="*/ 209 h 1324"/>
                  <a:gd name="T78" fmla="*/ 511 w 1287"/>
                  <a:gd name="T79" fmla="*/ 124 h 1324"/>
                  <a:gd name="T80" fmla="*/ 503 w 1287"/>
                  <a:gd name="T81" fmla="*/ 64 h 1324"/>
                  <a:gd name="T82" fmla="*/ 417 w 1287"/>
                  <a:gd name="T83" fmla="*/ 46 h 1324"/>
                  <a:gd name="T84" fmla="*/ 348 w 1287"/>
                  <a:gd name="T85" fmla="*/ 46 h 132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</a:cxnLst>
                <a:rect l="0" t="0" r="r" b="b"/>
                <a:pathLst>
                  <a:path w="1287" h="1324">
                    <a:moveTo>
                      <a:pt x="314" y="8"/>
                    </a:moveTo>
                    <a:cubicBezTo>
                      <a:pt x="283" y="10"/>
                      <a:pt x="247" y="0"/>
                      <a:pt x="220" y="16"/>
                    </a:cubicBezTo>
                    <a:cubicBezTo>
                      <a:pt x="212" y="21"/>
                      <a:pt x="219" y="37"/>
                      <a:pt x="211" y="42"/>
                    </a:cubicBezTo>
                    <a:cubicBezTo>
                      <a:pt x="205" y="46"/>
                      <a:pt x="197" y="45"/>
                      <a:pt x="190" y="46"/>
                    </a:cubicBezTo>
                    <a:cubicBezTo>
                      <a:pt x="179" y="68"/>
                      <a:pt x="176" y="107"/>
                      <a:pt x="203" y="115"/>
                    </a:cubicBezTo>
                    <a:cubicBezTo>
                      <a:pt x="206" y="124"/>
                      <a:pt x="208" y="132"/>
                      <a:pt x="211" y="141"/>
                    </a:cubicBezTo>
                    <a:cubicBezTo>
                      <a:pt x="214" y="150"/>
                      <a:pt x="187" y="172"/>
                      <a:pt x="181" y="175"/>
                    </a:cubicBezTo>
                    <a:cubicBezTo>
                      <a:pt x="149" y="191"/>
                      <a:pt x="109" y="199"/>
                      <a:pt x="74" y="205"/>
                    </a:cubicBezTo>
                    <a:cubicBezTo>
                      <a:pt x="45" y="225"/>
                      <a:pt x="55" y="283"/>
                      <a:pt x="40" y="295"/>
                    </a:cubicBezTo>
                    <a:cubicBezTo>
                      <a:pt x="35" y="299"/>
                      <a:pt x="29" y="298"/>
                      <a:pt x="23" y="299"/>
                    </a:cubicBezTo>
                    <a:cubicBezTo>
                      <a:pt x="22" y="300"/>
                      <a:pt x="0" y="320"/>
                      <a:pt x="1" y="325"/>
                    </a:cubicBezTo>
                    <a:cubicBezTo>
                      <a:pt x="2" y="328"/>
                      <a:pt x="31" y="349"/>
                      <a:pt x="36" y="351"/>
                    </a:cubicBezTo>
                    <a:cubicBezTo>
                      <a:pt x="72" y="391"/>
                      <a:pt x="64" y="455"/>
                      <a:pt x="27" y="492"/>
                    </a:cubicBezTo>
                    <a:cubicBezTo>
                      <a:pt x="23" y="506"/>
                      <a:pt x="29" y="541"/>
                      <a:pt x="36" y="556"/>
                    </a:cubicBezTo>
                    <a:cubicBezTo>
                      <a:pt x="44" y="572"/>
                      <a:pt x="87" y="574"/>
                      <a:pt x="87" y="574"/>
                    </a:cubicBezTo>
                    <a:cubicBezTo>
                      <a:pt x="111" y="589"/>
                      <a:pt x="114" y="584"/>
                      <a:pt x="108" y="616"/>
                    </a:cubicBezTo>
                    <a:cubicBezTo>
                      <a:pt x="116" y="657"/>
                      <a:pt x="124" y="673"/>
                      <a:pt x="164" y="685"/>
                    </a:cubicBezTo>
                    <a:cubicBezTo>
                      <a:pt x="170" y="705"/>
                      <a:pt x="175" y="724"/>
                      <a:pt x="177" y="745"/>
                    </a:cubicBezTo>
                    <a:cubicBezTo>
                      <a:pt x="179" y="768"/>
                      <a:pt x="170" y="798"/>
                      <a:pt x="186" y="814"/>
                    </a:cubicBezTo>
                    <a:cubicBezTo>
                      <a:pt x="190" y="818"/>
                      <a:pt x="197" y="817"/>
                      <a:pt x="203" y="818"/>
                    </a:cubicBezTo>
                    <a:cubicBezTo>
                      <a:pt x="237" y="811"/>
                      <a:pt x="224" y="818"/>
                      <a:pt x="233" y="848"/>
                    </a:cubicBezTo>
                    <a:cubicBezTo>
                      <a:pt x="240" y="933"/>
                      <a:pt x="234" y="911"/>
                      <a:pt x="336" y="916"/>
                    </a:cubicBezTo>
                    <a:cubicBezTo>
                      <a:pt x="342" y="934"/>
                      <a:pt x="338" y="954"/>
                      <a:pt x="344" y="972"/>
                    </a:cubicBezTo>
                    <a:cubicBezTo>
                      <a:pt x="347" y="981"/>
                      <a:pt x="361" y="979"/>
                      <a:pt x="370" y="981"/>
                    </a:cubicBezTo>
                    <a:cubicBezTo>
                      <a:pt x="389" y="984"/>
                      <a:pt x="407" y="986"/>
                      <a:pt x="426" y="989"/>
                    </a:cubicBezTo>
                    <a:cubicBezTo>
                      <a:pt x="432" y="1009"/>
                      <a:pt x="436" y="1047"/>
                      <a:pt x="460" y="1054"/>
                    </a:cubicBezTo>
                    <a:cubicBezTo>
                      <a:pt x="471" y="1057"/>
                      <a:pt x="483" y="1057"/>
                      <a:pt x="494" y="1058"/>
                    </a:cubicBezTo>
                    <a:cubicBezTo>
                      <a:pt x="520" y="1066"/>
                      <a:pt x="516" y="1082"/>
                      <a:pt x="550" y="1088"/>
                    </a:cubicBezTo>
                    <a:cubicBezTo>
                      <a:pt x="566" y="1098"/>
                      <a:pt x="565" y="1107"/>
                      <a:pt x="576" y="1122"/>
                    </a:cubicBezTo>
                    <a:cubicBezTo>
                      <a:pt x="587" y="1156"/>
                      <a:pt x="590" y="1191"/>
                      <a:pt x="601" y="1225"/>
                    </a:cubicBezTo>
                    <a:cubicBezTo>
                      <a:pt x="603" y="1231"/>
                      <a:pt x="634" y="1239"/>
                      <a:pt x="644" y="1242"/>
                    </a:cubicBezTo>
                    <a:cubicBezTo>
                      <a:pt x="648" y="1243"/>
                      <a:pt x="657" y="1246"/>
                      <a:pt x="657" y="1246"/>
                    </a:cubicBezTo>
                    <a:cubicBezTo>
                      <a:pt x="675" y="1240"/>
                      <a:pt x="685" y="1238"/>
                      <a:pt x="704" y="1242"/>
                    </a:cubicBezTo>
                    <a:cubicBezTo>
                      <a:pt x="708" y="1245"/>
                      <a:pt x="714" y="1247"/>
                      <a:pt x="717" y="1251"/>
                    </a:cubicBezTo>
                    <a:cubicBezTo>
                      <a:pt x="719" y="1253"/>
                      <a:pt x="723" y="1274"/>
                      <a:pt x="726" y="1276"/>
                    </a:cubicBezTo>
                    <a:cubicBezTo>
                      <a:pt x="735" y="1281"/>
                      <a:pt x="756" y="1285"/>
                      <a:pt x="756" y="1285"/>
                    </a:cubicBezTo>
                    <a:cubicBezTo>
                      <a:pt x="761" y="1324"/>
                      <a:pt x="760" y="1312"/>
                      <a:pt x="790" y="1324"/>
                    </a:cubicBezTo>
                    <a:cubicBezTo>
                      <a:pt x="888" y="1310"/>
                      <a:pt x="941" y="1298"/>
                      <a:pt x="1047" y="1294"/>
                    </a:cubicBezTo>
                    <a:cubicBezTo>
                      <a:pt x="1082" y="1283"/>
                      <a:pt x="1068" y="1291"/>
                      <a:pt x="1090" y="1276"/>
                    </a:cubicBezTo>
                    <a:cubicBezTo>
                      <a:pt x="1074" y="1266"/>
                      <a:pt x="1064" y="1264"/>
                      <a:pt x="1051" y="1251"/>
                    </a:cubicBezTo>
                    <a:cubicBezTo>
                      <a:pt x="1031" y="1209"/>
                      <a:pt x="1024" y="1165"/>
                      <a:pt x="1008" y="1122"/>
                    </a:cubicBezTo>
                    <a:cubicBezTo>
                      <a:pt x="1011" y="1081"/>
                      <a:pt x="1007" y="1048"/>
                      <a:pt x="1030" y="1015"/>
                    </a:cubicBezTo>
                    <a:cubicBezTo>
                      <a:pt x="1029" y="1006"/>
                      <a:pt x="1021" y="969"/>
                      <a:pt x="1030" y="959"/>
                    </a:cubicBezTo>
                    <a:cubicBezTo>
                      <a:pt x="1032" y="957"/>
                      <a:pt x="1075" y="942"/>
                      <a:pt x="1081" y="938"/>
                    </a:cubicBezTo>
                    <a:cubicBezTo>
                      <a:pt x="1086" y="925"/>
                      <a:pt x="1094" y="899"/>
                      <a:pt x="1094" y="899"/>
                    </a:cubicBezTo>
                    <a:cubicBezTo>
                      <a:pt x="1089" y="844"/>
                      <a:pt x="1078" y="841"/>
                      <a:pt x="1128" y="831"/>
                    </a:cubicBezTo>
                    <a:cubicBezTo>
                      <a:pt x="1155" y="836"/>
                      <a:pt x="1171" y="854"/>
                      <a:pt x="1197" y="865"/>
                    </a:cubicBezTo>
                    <a:cubicBezTo>
                      <a:pt x="1218" y="834"/>
                      <a:pt x="1213" y="784"/>
                      <a:pt x="1193" y="754"/>
                    </a:cubicBezTo>
                    <a:cubicBezTo>
                      <a:pt x="1187" y="732"/>
                      <a:pt x="1188" y="710"/>
                      <a:pt x="1163" y="702"/>
                    </a:cubicBezTo>
                    <a:cubicBezTo>
                      <a:pt x="1131" y="677"/>
                      <a:pt x="1129" y="685"/>
                      <a:pt x="1124" y="642"/>
                    </a:cubicBezTo>
                    <a:cubicBezTo>
                      <a:pt x="1144" y="636"/>
                      <a:pt x="1157" y="620"/>
                      <a:pt x="1176" y="612"/>
                    </a:cubicBezTo>
                    <a:cubicBezTo>
                      <a:pt x="1190" y="606"/>
                      <a:pt x="1212" y="603"/>
                      <a:pt x="1227" y="599"/>
                    </a:cubicBezTo>
                    <a:cubicBezTo>
                      <a:pt x="1242" y="590"/>
                      <a:pt x="1244" y="579"/>
                      <a:pt x="1261" y="574"/>
                    </a:cubicBezTo>
                    <a:cubicBezTo>
                      <a:pt x="1274" y="561"/>
                      <a:pt x="1282" y="552"/>
                      <a:pt x="1287" y="535"/>
                    </a:cubicBezTo>
                    <a:cubicBezTo>
                      <a:pt x="1286" y="521"/>
                      <a:pt x="1286" y="506"/>
                      <a:pt x="1283" y="492"/>
                    </a:cubicBezTo>
                    <a:cubicBezTo>
                      <a:pt x="1276" y="460"/>
                      <a:pt x="1216" y="438"/>
                      <a:pt x="1188" y="432"/>
                    </a:cubicBezTo>
                    <a:cubicBezTo>
                      <a:pt x="1180" y="427"/>
                      <a:pt x="1164" y="428"/>
                      <a:pt x="1163" y="419"/>
                    </a:cubicBezTo>
                    <a:cubicBezTo>
                      <a:pt x="1160" y="399"/>
                      <a:pt x="1159" y="377"/>
                      <a:pt x="1167" y="359"/>
                    </a:cubicBezTo>
                    <a:cubicBezTo>
                      <a:pt x="1171" y="351"/>
                      <a:pt x="1184" y="354"/>
                      <a:pt x="1193" y="351"/>
                    </a:cubicBezTo>
                    <a:cubicBezTo>
                      <a:pt x="1218" y="343"/>
                      <a:pt x="1245" y="343"/>
                      <a:pt x="1270" y="338"/>
                    </a:cubicBezTo>
                    <a:cubicBezTo>
                      <a:pt x="1287" y="310"/>
                      <a:pt x="1265" y="320"/>
                      <a:pt x="1248" y="325"/>
                    </a:cubicBezTo>
                    <a:cubicBezTo>
                      <a:pt x="1212" y="319"/>
                      <a:pt x="1194" y="289"/>
                      <a:pt x="1158" y="278"/>
                    </a:cubicBezTo>
                    <a:cubicBezTo>
                      <a:pt x="1090" y="282"/>
                      <a:pt x="1029" y="292"/>
                      <a:pt x="961" y="295"/>
                    </a:cubicBezTo>
                    <a:cubicBezTo>
                      <a:pt x="940" y="292"/>
                      <a:pt x="917" y="293"/>
                      <a:pt x="897" y="286"/>
                    </a:cubicBezTo>
                    <a:cubicBezTo>
                      <a:pt x="864" y="275"/>
                      <a:pt x="867" y="232"/>
                      <a:pt x="846" y="214"/>
                    </a:cubicBezTo>
                    <a:cubicBezTo>
                      <a:pt x="832" y="202"/>
                      <a:pt x="811" y="193"/>
                      <a:pt x="794" y="188"/>
                    </a:cubicBezTo>
                    <a:cubicBezTo>
                      <a:pt x="783" y="173"/>
                      <a:pt x="778" y="160"/>
                      <a:pt x="768" y="145"/>
                    </a:cubicBezTo>
                    <a:cubicBezTo>
                      <a:pt x="753" y="95"/>
                      <a:pt x="726" y="58"/>
                      <a:pt x="674" y="46"/>
                    </a:cubicBezTo>
                    <a:cubicBezTo>
                      <a:pt x="653" y="33"/>
                      <a:pt x="649" y="34"/>
                      <a:pt x="623" y="38"/>
                    </a:cubicBezTo>
                    <a:cubicBezTo>
                      <a:pt x="616" y="57"/>
                      <a:pt x="615" y="70"/>
                      <a:pt x="636" y="76"/>
                    </a:cubicBezTo>
                    <a:cubicBezTo>
                      <a:pt x="640" y="82"/>
                      <a:pt x="643" y="89"/>
                      <a:pt x="648" y="94"/>
                    </a:cubicBezTo>
                    <a:cubicBezTo>
                      <a:pt x="653" y="98"/>
                      <a:pt x="661" y="97"/>
                      <a:pt x="666" y="102"/>
                    </a:cubicBezTo>
                    <a:cubicBezTo>
                      <a:pt x="669" y="105"/>
                      <a:pt x="668" y="111"/>
                      <a:pt x="670" y="115"/>
                    </a:cubicBezTo>
                    <a:cubicBezTo>
                      <a:pt x="682" y="134"/>
                      <a:pt x="700" y="152"/>
                      <a:pt x="713" y="171"/>
                    </a:cubicBezTo>
                    <a:cubicBezTo>
                      <a:pt x="722" y="201"/>
                      <a:pt x="725" y="212"/>
                      <a:pt x="756" y="218"/>
                    </a:cubicBezTo>
                    <a:cubicBezTo>
                      <a:pt x="765" y="255"/>
                      <a:pt x="754" y="261"/>
                      <a:pt x="721" y="269"/>
                    </a:cubicBezTo>
                    <a:cubicBezTo>
                      <a:pt x="685" y="262"/>
                      <a:pt x="655" y="247"/>
                      <a:pt x="623" y="231"/>
                    </a:cubicBezTo>
                    <a:cubicBezTo>
                      <a:pt x="603" y="221"/>
                      <a:pt x="579" y="217"/>
                      <a:pt x="558" y="209"/>
                    </a:cubicBezTo>
                    <a:cubicBezTo>
                      <a:pt x="542" y="192"/>
                      <a:pt x="533" y="173"/>
                      <a:pt x="520" y="154"/>
                    </a:cubicBezTo>
                    <a:cubicBezTo>
                      <a:pt x="517" y="144"/>
                      <a:pt x="514" y="134"/>
                      <a:pt x="511" y="124"/>
                    </a:cubicBezTo>
                    <a:cubicBezTo>
                      <a:pt x="510" y="120"/>
                      <a:pt x="507" y="111"/>
                      <a:pt x="507" y="111"/>
                    </a:cubicBezTo>
                    <a:cubicBezTo>
                      <a:pt x="506" y="95"/>
                      <a:pt x="510" y="78"/>
                      <a:pt x="503" y="64"/>
                    </a:cubicBezTo>
                    <a:cubicBezTo>
                      <a:pt x="499" y="55"/>
                      <a:pt x="456" y="31"/>
                      <a:pt x="447" y="29"/>
                    </a:cubicBezTo>
                    <a:cubicBezTo>
                      <a:pt x="437" y="31"/>
                      <a:pt x="420" y="31"/>
                      <a:pt x="417" y="46"/>
                    </a:cubicBezTo>
                    <a:cubicBezTo>
                      <a:pt x="405" y="118"/>
                      <a:pt x="435" y="104"/>
                      <a:pt x="400" y="115"/>
                    </a:cubicBezTo>
                    <a:cubicBezTo>
                      <a:pt x="379" y="108"/>
                      <a:pt x="359" y="67"/>
                      <a:pt x="348" y="46"/>
                    </a:cubicBezTo>
                    <a:cubicBezTo>
                      <a:pt x="330" y="11"/>
                      <a:pt x="295" y="38"/>
                      <a:pt x="314" y="8"/>
                    </a:cubicBezTo>
                    <a:close/>
                  </a:path>
                </a:pathLst>
              </a:custGeom>
              <a:solidFill>
                <a:schemeClr val="accent6">
                  <a:lumMod val="75000"/>
                </a:schemeClr>
              </a:solidFill>
              <a:ln w="21590">
                <a:solidFill>
                  <a:srgbClr val="FFFFFF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28" name="Freeform 51">
                <a:extLst>
                  <a:ext uri="{FF2B5EF4-FFF2-40B4-BE49-F238E27FC236}">
                    <a16:creationId xmlns:a16="http://schemas.microsoft.com/office/drawing/2014/main" id="{00000000-0008-0000-0C00-00001C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999" y="7435"/>
                <a:ext cx="1414" cy="1602"/>
              </a:xfrm>
              <a:custGeom>
                <a:avLst/>
                <a:gdLst>
                  <a:gd name="T0" fmla="*/ 175 w 1414"/>
                  <a:gd name="T1" fmla="*/ 180 h 1602"/>
                  <a:gd name="T2" fmla="*/ 261 w 1414"/>
                  <a:gd name="T3" fmla="*/ 197 h 1602"/>
                  <a:gd name="T4" fmla="*/ 300 w 1414"/>
                  <a:gd name="T5" fmla="*/ 300 h 1602"/>
                  <a:gd name="T6" fmla="*/ 163 w 1414"/>
                  <a:gd name="T7" fmla="*/ 335 h 1602"/>
                  <a:gd name="T8" fmla="*/ 128 w 1414"/>
                  <a:gd name="T9" fmla="*/ 450 h 1602"/>
                  <a:gd name="T10" fmla="*/ 0 w 1414"/>
                  <a:gd name="T11" fmla="*/ 579 h 1602"/>
                  <a:gd name="T12" fmla="*/ 17 w 1414"/>
                  <a:gd name="T13" fmla="*/ 785 h 1602"/>
                  <a:gd name="T14" fmla="*/ 107 w 1414"/>
                  <a:gd name="T15" fmla="*/ 866 h 1602"/>
                  <a:gd name="T16" fmla="*/ 150 w 1414"/>
                  <a:gd name="T17" fmla="*/ 960 h 1602"/>
                  <a:gd name="T18" fmla="*/ 201 w 1414"/>
                  <a:gd name="T19" fmla="*/ 1085 h 1602"/>
                  <a:gd name="T20" fmla="*/ 321 w 1414"/>
                  <a:gd name="T21" fmla="*/ 1170 h 1602"/>
                  <a:gd name="T22" fmla="*/ 420 w 1414"/>
                  <a:gd name="T23" fmla="*/ 1230 h 1602"/>
                  <a:gd name="T24" fmla="*/ 390 w 1414"/>
                  <a:gd name="T25" fmla="*/ 1333 h 1602"/>
                  <a:gd name="T26" fmla="*/ 450 w 1414"/>
                  <a:gd name="T27" fmla="*/ 1513 h 1602"/>
                  <a:gd name="T28" fmla="*/ 514 w 1414"/>
                  <a:gd name="T29" fmla="*/ 1487 h 1602"/>
                  <a:gd name="T30" fmla="*/ 600 w 1414"/>
                  <a:gd name="T31" fmla="*/ 1517 h 1602"/>
                  <a:gd name="T32" fmla="*/ 630 w 1414"/>
                  <a:gd name="T33" fmla="*/ 1543 h 1602"/>
                  <a:gd name="T34" fmla="*/ 741 w 1414"/>
                  <a:gd name="T35" fmla="*/ 1479 h 1602"/>
                  <a:gd name="T36" fmla="*/ 758 w 1414"/>
                  <a:gd name="T37" fmla="*/ 1432 h 1602"/>
                  <a:gd name="T38" fmla="*/ 827 w 1414"/>
                  <a:gd name="T39" fmla="*/ 1487 h 1602"/>
                  <a:gd name="T40" fmla="*/ 887 w 1414"/>
                  <a:gd name="T41" fmla="*/ 1470 h 1602"/>
                  <a:gd name="T42" fmla="*/ 917 w 1414"/>
                  <a:gd name="T43" fmla="*/ 1586 h 1602"/>
                  <a:gd name="T44" fmla="*/ 1080 w 1414"/>
                  <a:gd name="T45" fmla="*/ 1582 h 1602"/>
                  <a:gd name="T46" fmla="*/ 1140 w 1414"/>
                  <a:gd name="T47" fmla="*/ 1415 h 1602"/>
                  <a:gd name="T48" fmla="*/ 1251 w 1414"/>
                  <a:gd name="T49" fmla="*/ 1282 h 1602"/>
                  <a:gd name="T50" fmla="*/ 1217 w 1414"/>
                  <a:gd name="T51" fmla="*/ 1119 h 1602"/>
                  <a:gd name="T52" fmla="*/ 1157 w 1414"/>
                  <a:gd name="T53" fmla="*/ 995 h 1602"/>
                  <a:gd name="T54" fmla="*/ 1114 w 1414"/>
                  <a:gd name="T55" fmla="*/ 952 h 1602"/>
                  <a:gd name="T56" fmla="*/ 1088 w 1414"/>
                  <a:gd name="T57" fmla="*/ 892 h 1602"/>
                  <a:gd name="T58" fmla="*/ 1118 w 1414"/>
                  <a:gd name="T59" fmla="*/ 853 h 1602"/>
                  <a:gd name="T60" fmla="*/ 1170 w 1414"/>
                  <a:gd name="T61" fmla="*/ 780 h 1602"/>
                  <a:gd name="T62" fmla="*/ 1264 w 1414"/>
                  <a:gd name="T63" fmla="*/ 703 h 1602"/>
                  <a:gd name="T64" fmla="*/ 1281 w 1414"/>
                  <a:gd name="T65" fmla="*/ 622 h 1602"/>
                  <a:gd name="T66" fmla="*/ 1251 w 1414"/>
                  <a:gd name="T67" fmla="*/ 523 h 1602"/>
                  <a:gd name="T68" fmla="*/ 1350 w 1414"/>
                  <a:gd name="T69" fmla="*/ 377 h 1602"/>
                  <a:gd name="T70" fmla="*/ 1397 w 1414"/>
                  <a:gd name="T71" fmla="*/ 240 h 1602"/>
                  <a:gd name="T72" fmla="*/ 1363 w 1414"/>
                  <a:gd name="T73" fmla="*/ 77 h 1602"/>
                  <a:gd name="T74" fmla="*/ 1268 w 1414"/>
                  <a:gd name="T75" fmla="*/ 43 h 1602"/>
                  <a:gd name="T76" fmla="*/ 1088 w 1414"/>
                  <a:gd name="T77" fmla="*/ 17 h 1602"/>
                  <a:gd name="T78" fmla="*/ 964 w 1414"/>
                  <a:gd name="T79" fmla="*/ 47 h 1602"/>
                  <a:gd name="T80" fmla="*/ 870 w 1414"/>
                  <a:gd name="T81" fmla="*/ 17 h 1602"/>
                  <a:gd name="T82" fmla="*/ 780 w 1414"/>
                  <a:gd name="T83" fmla="*/ 22 h 1602"/>
                  <a:gd name="T84" fmla="*/ 625 w 1414"/>
                  <a:gd name="T85" fmla="*/ 90 h 1602"/>
                  <a:gd name="T86" fmla="*/ 578 w 1414"/>
                  <a:gd name="T87" fmla="*/ 129 h 1602"/>
                  <a:gd name="T88" fmla="*/ 488 w 1414"/>
                  <a:gd name="T89" fmla="*/ 60 h 1602"/>
                  <a:gd name="T90" fmla="*/ 368 w 1414"/>
                  <a:gd name="T91" fmla="*/ 137 h 1602"/>
                  <a:gd name="T92" fmla="*/ 244 w 1414"/>
                  <a:gd name="T93" fmla="*/ 82 h 160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</a:cxnLst>
                <a:rect l="0" t="0" r="r" b="b"/>
                <a:pathLst>
                  <a:path w="1414" h="1602">
                    <a:moveTo>
                      <a:pt x="145" y="65"/>
                    </a:moveTo>
                    <a:cubicBezTo>
                      <a:pt x="152" y="81"/>
                      <a:pt x="145" y="175"/>
                      <a:pt x="175" y="180"/>
                    </a:cubicBezTo>
                    <a:cubicBezTo>
                      <a:pt x="199" y="184"/>
                      <a:pt x="224" y="183"/>
                      <a:pt x="248" y="185"/>
                    </a:cubicBezTo>
                    <a:cubicBezTo>
                      <a:pt x="252" y="189"/>
                      <a:pt x="258" y="192"/>
                      <a:pt x="261" y="197"/>
                    </a:cubicBezTo>
                    <a:cubicBezTo>
                      <a:pt x="266" y="206"/>
                      <a:pt x="270" y="227"/>
                      <a:pt x="270" y="227"/>
                    </a:cubicBezTo>
                    <a:cubicBezTo>
                      <a:pt x="274" y="275"/>
                      <a:pt x="266" y="279"/>
                      <a:pt x="300" y="300"/>
                    </a:cubicBezTo>
                    <a:cubicBezTo>
                      <a:pt x="287" y="318"/>
                      <a:pt x="279" y="317"/>
                      <a:pt x="257" y="322"/>
                    </a:cubicBezTo>
                    <a:cubicBezTo>
                      <a:pt x="229" y="318"/>
                      <a:pt x="174" y="299"/>
                      <a:pt x="163" y="335"/>
                    </a:cubicBezTo>
                    <a:cubicBezTo>
                      <a:pt x="167" y="355"/>
                      <a:pt x="169" y="375"/>
                      <a:pt x="175" y="395"/>
                    </a:cubicBezTo>
                    <a:cubicBezTo>
                      <a:pt x="170" y="435"/>
                      <a:pt x="162" y="434"/>
                      <a:pt x="128" y="450"/>
                    </a:cubicBezTo>
                    <a:cubicBezTo>
                      <a:pt x="106" y="472"/>
                      <a:pt x="85" y="497"/>
                      <a:pt x="55" y="506"/>
                    </a:cubicBezTo>
                    <a:cubicBezTo>
                      <a:pt x="35" y="528"/>
                      <a:pt x="29" y="570"/>
                      <a:pt x="0" y="579"/>
                    </a:cubicBezTo>
                    <a:cubicBezTo>
                      <a:pt x="6" y="612"/>
                      <a:pt x="17" y="646"/>
                      <a:pt x="30" y="677"/>
                    </a:cubicBezTo>
                    <a:cubicBezTo>
                      <a:pt x="27" y="722"/>
                      <a:pt x="29" y="747"/>
                      <a:pt x="17" y="785"/>
                    </a:cubicBezTo>
                    <a:cubicBezTo>
                      <a:pt x="23" y="819"/>
                      <a:pt x="34" y="816"/>
                      <a:pt x="64" y="823"/>
                    </a:cubicBezTo>
                    <a:cubicBezTo>
                      <a:pt x="94" y="839"/>
                      <a:pt x="89" y="841"/>
                      <a:pt x="107" y="866"/>
                    </a:cubicBezTo>
                    <a:cubicBezTo>
                      <a:pt x="112" y="889"/>
                      <a:pt x="123" y="910"/>
                      <a:pt x="137" y="930"/>
                    </a:cubicBezTo>
                    <a:cubicBezTo>
                      <a:pt x="148" y="978"/>
                      <a:pt x="132" y="919"/>
                      <a:pt x="150" y="960"/>
                    </a:cubicBezTo>
                    <a:cubicBezTo>
                      <a:pt x="163" y="991"/>
                      <a:pt x="174" y="1027"/>
                      <a:pt x="184" y="1059"/>
                    </a:cubicBezTo>
                    <a:cubicBezTo>
                      <a:pt x="187" y="1069"/>
                      <a:pt x="192" y="1080"/>
                      <a:pt x="201" y="1085"/>
                    </a:cubicBezTo>
                    <a:cubicBezTo>
                      <a:pt x="209" y="1090"/>
                      <a:pt x="227" y="1093"/>
                      <a:pt x="227" y="1093"/>
                    </a:cubicBezTo>
                    <a:cubicBezTo>
                      <a:pt x="242" y="1158"/>
                      <a:pt x="253" y="1159"/>
                      <a:pt x="321" y="1170"/>
                    </a:cubicBezTo>
                    <a:cubicBezTo>
                      <a:pt x="343" y="1201"/>
                      <a:pt x="329" y="1220"/>
                      <a:pt x="368" y="1235"/>
                    </a:cubicBezTo>
                    <a:cubicBezTo>
                      <a:pt x="385" y="1233"/>
                      <a:pt x="403" y="1230"/>
                      <a:pt x="420" y="1230"/>
                    </a:cubicBezTo>
                    <a:cubicBezTo>
                      <a:pt x="425" y="1230"/>
                      <a:pt x="432" y="1230"/>
                      <a:pt x="433" y="1235"/>
                    </a:cubicBezTo>
                    <a:cubicBezTo>
                      <a:pt x="440" y="1269"/>
                      <a:pt x="406" y="1307"/>
                      <a:pt x="390" y="1333"/>
                    </a:cubicBezTo>
                    <a:cubicBezTo>
                      <a:pt x="393" y="1366"/>
                      <a:pt x="398" y="1385"/>
                      <a:pt x="407" y="1415"/>
                    </a:cubicBezTo>
                    <a:cubicBezTo>
                      <a:pt x="403" y="1477"/>
                      <a:pt x="384" y="1505"/>
                      <a:pt x="450" y="1513"/>
                    </a:cubicBezTo>
                    <a:cubicBezTo>
                      <a:pt x="470" y="1509"/>
                      <a:pt x="491" y="1508"/>
                      <a:pt x="510" y="1500"/>
                    </a:cubicBezTo>
                    <a:cubicBezTo>
                      <a:pt x="514" y="1498"/>
                      <a:pt x="511" y="1490"/>
                      <a:pt x="514" y="1487"/>
                    </a:cubicBezTo>
                    <a:cubicBezTo>
                      <a:pt x="522" y="1477"/>
                      <a:pt x="533" y="1474"/>
                      <a:pt x="544" y="1470"/>
                    </a:cubicBezTo>
                    <a:cubicBezTo>
                      <a:pt x="580" y="1479"/>
                      <a:pt x="586" y="1482"/>
                      <a:pt x="600" y="1517"/>
                    </a:cubicBezTo>
                    <a:cubicBezTo>
                      <a:pt x="601" y="1530"/>
                      <a:pt x="598" y="1544"/>
                      <a:pt x="604" y="1556"/>
                    </a:cubicBezTo>
                    <a:cubicBezTo>
                      <a:pt x="608" y="1565"/>
                      <a:pt x="620" y="1544"/>
                      <a:pt x="630" y="1543"/>
                    </a:cubicBezTo>
                    <a:cubicBezTo>
                      <a:pt x="662" y="1538"/>
                      <a:pt x="728" y="1535"/>
                      <a:pt x="728" y="1535"/>
                    </a:cubicBezTo>
                    <a:cubicBezTo>
                      <a:pt x="721" y="1512"/>
                      <a:pt x="724" y="1496"/>
                      <a:pt x="741" y="1479"/>
                    </a:cubicBezTo>
                    <a:cubicBezTo>
                      <a:pt x="747" y="1460"/>
                      <a:pt x="743" y="1438"/>
                      <a:pt x="750" y="1419"/>
                    </a:cubicBezTo>
                    <a:cubicBezTo>
                      <a:pt x="752" y="1414"/>
                      <a:pt x="753" y="1430"/>
                      <a:pt x="758" y="1432"/>
                    </a:cubicBezTo>
                    <a:cubicBezTo>
                      <a:pt x="770" y="1436"/>
                      <a:pt x="784" y="1435"/>
                      <a:pt x="797" y="1436"/>
                    </a:cubicBezTo>
                    <a:cubicBezTo>
                      <a:pt x="808" y="1471"/>
                      <a:pt x="786" y="1479"/>
                      <a:pt x="827" y="1487"/>
                    </a:cubicBezTo>
                    <a:cubicBezTo>
                      <a:pt x="858" y="1477"/>
                      <a:pt x="840" y="1448"/>
                      <a:pt x="865" y="1432"/>
                    </a:cubicBezTo>
                    <a:cubicBezTo>
                      <a:pt x="886" y="1461"/>
                      <a:pt x="880" y="1447"/>
                      <a:pt x="887" y="1470"/>
                    </a:cubicBezTo>
                    <a:cubicBezTo>
                      <a:pt x="892" y="1536"/>
                      <a:pt x="896" y="1518"/>
                      <a:pt x="913" y="1569"/>
                    </a:cubicBezTo>
                    <a:cubicBezTo>
                      <a:pt x="915" y="1575"/>
                      <a:pt x="913" y="1581"/>
                      <a:pt x="917" y="1586"/>
                    </a:cubicBezTo>
                    <a:cubicBezTo>
                      <a:pt x="922" y="1592"/>
                      <a:pt x="939" y="1597"/>
                      <a:pt x="947" y="1599"/>
                    </a:cubicBezTo>
                    <a:cubicBezTo>
                      <a:pt x="1090" y="1594"/>
                      <a:pt x="1016" y="1602"/>
                      <a:pt x="1080" y="1582"/>
                    </a:cubicBezTo>
                    <a:cubicBezTo>
                      <a:pt x="1109" y="1563"/>
                      <a:pt x="1121" y="1541"/>
                      <a:pt x="1140" y="1513"/>
                    </a:cubicBezTo>
                    <a:cubicBezTo>
                      <a:pt x="1150" y="1479"/>
                      <a:pt x="1146" y="1450"/>
                      <a:pt x="1140" y="1415"/>
                    </a:cubicBezTo>
                    <a:cubicBezTo>
                      <a:pt x="1147" y="1382"/>
                      <a:pt x="1168" y="1377"/>
                      <a:pt x="1195" y="1359"/>
                    </a:cubicBezTo>
                    <a:cubicBezTo>
                      <a:pt x="1221" y="1341"/>
                      <a:pt x="1228" y="1302"/>
                      <a:pt x="1251" y="1282"/>
                    </a:cubicBezTo>
                    <a:cubicBezTo>
                      <a:pt x="1260" y="1275"/>
                      <a:pt x="1279" y="1268"/>
                      <a:pt x="1290" y="1265"/>
                    </a:cubicBezTo>
                    <a:cubicBezTo>
                      <a:pt x="1261" y="1217"/>
                      <a:pt x="1253" y="1166"/>
                      <a:pt x="1217" y="1119"/>
                    </a:cubicBezTo>
                    <a:cubicBezTo>
                      <a:pt x="1208" y="1090"/>
                      <a:pt x="1194" y="1027"/>
                      <a:pt x="1170" y="1012"/>
                    </a:cubicBezTo>
                    <a:cubicBezTo>
                      <a:pt x="1166" y="1006"/>
                      <a:pt x="1162" y="1000"/>
                      <a:pt x="1157" y="995"/>
                    </a:cubicBezTo>
                    <a:cubicBezTo>
                      <a:pt x="1149" y="988"/>
                      <a:pt x="1131" y="977"/>
                      <a:pt x="1131" y="977"/>
                    </a:cubicBezTo>
                    <a:cubicBezTo>
                      <a:pt x="1125" y="969"/>
                      <a:pt x="1120" y="960"/>
                      <a:pt x="1114" y="952"/>
                    </a:cubicBezTo>
                    <a:cubicBezTo>
                      <a:pt x="1111" y="948"/>
                      <a:pt x="1105" y="939"/>
                      <a:pt x="1105" y="939"/>
                    </a:cubicBezTo>
                    <a:cubicBezTo>
                      <a:pt x="1101" y="922"/>
                      <a:pt x="1094" y="908"/>
                      <a:pt x="1088" y="892"/>
                    </a:cubicBezTo>
                    <a:cubicBezTo>
                      <a:pt x="1090" y="882"/>
                      <a:pt x="1089" y="871"/>
                      <a:pt x="1093" y="862"/>
                    </a:cubicBezTo>
                    <a:cubicBezTo>
                      <a:pt x="1094" y="860"/>
                      <a:pt x="1117" y="854"/>
                      <a:pt x="1118" y="853"/>
                    </a:cubicBezTo>
                    <a:cubicBezTo>
                      <a:pt x="1134" y="845"/>
                      <a:pt x="1147" y="834"/>
                      <a:pt x="1157" y="819"/>
                    </a:cubicBezTo>
                    <a:cubicBezTo>
                      <a:pt x="1161" y="806"/>
                      <a:pt x="1158" y="787"/>
                      <a:pt x="1170" y="780"/>
                    </a:cubicBezTo>
                    <a:cubicBezTo>
                      <a:pt x="1192" y="767"/>
                      <a:pt x="1221" y="774"/>
                      <a:pt x="1247" y="772"/>
                    </a:cubicBezTo>
                    <a:cubicBezTo>
                      <a:pt x="1252" y="754"/>
                      <a:pt x="1254" y="717"/>
                      <a:pt x="1264" y="703"/>
                    </a:cubicBezTo>
                    <a:cubicBezTo>
                      <a:pt x="1270" y="694"/>
                      <a:pt x="1281" y="692"/>
                      <a:pt x="1290" y="686"/>
                    </a:cubicBezTo>
                    <a:cubicBezTo>
                      <a:pt x="1297" y="663"/>
                      <a:pt x="1295" y="642"/>
                      <a:pt x="1281" y="622"/>
                    </a:cubicBezTo>
                    <a:cubicBezTo>
                      <a:pt x="1271" y="590"/>
                      <a:pt x="1285" y="629"/>
                      <a:pt x="1268" y="596"/>
                    </a:cubicBezTo>
                    <a:cubicBezTo>
                      <a:pt x="1257" y="574"/>
                      <a:pt x="1256" y="546"/>
                      <a:pt x="1251" y="523"/>
                    </a:cubicBezTo>
                    <a:cubicBezTo>
                      <a:pt x="1256" y="481"/>
                      <a:pt x="1258" y="447"/>
                      <a:pt x="1303" y="433"/>
                    </a:cubicBezTo>
                    <a:cubicBezTo>
                      <a:pt x="1333" y="413"/>
                      <a:pt x="1326" y="393"/>
                      <a:pt x="1350" y="377"/>
                    </a:cubicBezTo>
                    <a:cubicBezTo>
                      <a:pt x="1355" y="356"/>
                      <a:pt x="1382" y="330"/>
                      <a:pt x="1401" y="317"/>
                    </a:cubicBezTo>
                    <a:cubicBezTo>
                      <a:pt x="1414" y="292"/>
                      <a:pt x="1413" y="265"/>
                      <a:pt x="1397" y="240"/>
                    </a:cubicBezTo>
                    <a:cubicBezTo>
                      <a:pt x="1390" y="230"/>
                      <a:pt x="1375" y="210"/>
                      <a:pt x="1375" y="210"/>
                    </a:cubicBezTo>
                    <a:cubicBezTo>
                      <a:pt x="1371" y="94"/>
                      <a:pt x="1381" y="137"/>
                      <a:pt x="1363" y="77"/>
                    </a:cubicBezTo>
                    <a:cubicBezTo>
                      <a:pt x="1361" y="71"/>
                      <a:pt x="1332" y="66"/>
                      <a:pt x="1328" y="65"/>
                    </a:cubicBezTo>
                    <a:cubicBezTo>
                      <a:pt x="1311" y="59"/>
                      <a:pt x="1286" y="51"/>
                      <a:pt x="1268" y="43"/>
                    </a:cubicBezTo>
                    <a:cubicBezTo>
                      <a:pt x="1249" y="34"/>
                      <a:pt x="1237" y="19"/>
                      <a:pt x="1217" y="13"/>
                    </a:cubicBezTo>
                    <a:cubicBezTo>
                      <a:pt x="1169" y="19"/>
                      <a:pt x="1138" y="21"/>
                      <a:pt x="1088" y="17"/>
                    </a:cubicBezTo>
                    <a:cubicBezTo>
                      <a:pt x="1074" y="13"/>
                      <a:pt x="1064" y="5"/>
                      <a:pt x="1050" y="0"/>
                    </a:cubicBezTo>
                    <a:cubicBezTo>
                      <a:pt x="1013" y="15"/>
                      <a:pt x="1004" y="38"/>
                      <a:pt x="964" y="47"/>
                    </a:cubicBezTo>
                    <a:cubicBezTo>
                      <a:pt x="962" y="47"/>
                      <a:pt x="919" y="42"/>
                      <a:pt x="913" y="39"/>
                    </a:cubicBezTo>
                    <a:cubicBezTo>
                      <a:pt x="898" y="33"/>
                      <a:pt x="885" y="22"/>
                      <a:pt x="870" y="17"/>
                    </a:cubicBezTo>
                    <a:cubicBezTo>
                      <a:pt x="861" y="14"/>
                      <a:pt x="844" y="9"/>
                      <a:pt x="844" y="9"/>
                    </a:cubicBezTo>
                    <a:cubicBezTo>
                      <a:pt x="820" y="12"/>
                      <a:pt x="802" y="14"/>
                      <a:pt x="780" y="22"/>
                    </a:cubicBezTo>
                    <a:cubicBezTo>
                      <a:pt x="745" y="72"/>
                      <a:pt x="743" y="60"/>
                      <a:pt x="664" y="65"/>
                    </a:cubicBezTo>
                    <a:cubicBezTo>
                      <a:pt x="643" y="70"/>
                      <a:pt x="642" y="79"/>
                      <a:pt x="625" y="90"/>
                    </a:cubicBezTo>
                    <a:cubicBezTo>
                      <a:pt x="617" y="89"/>
                      <a:pt x="605" y="80"/>
                      <a:pt x="600" y="86"/>
                    </a:cubicBezTo>
                    <a:cubicBezTo>
                      <a:pt x="553" y="140"/>
                      <a:pt x="626" y="118"/>
                      <a:pt x="578" y="129"/>
                    </a:cubicBezTo>
                    <a:cubicBezTo>
                      <a:pt x="564" y="125"/>
                      <a:pt x="553" y="120"/>
                      <a:pt x="540" y="112"/>
                    </a:cubicBezTo>
                    <a:cubicBezTo>
                      <a:pt x="526" y="91"/>
                      <a:pt x="509" y="74"/>
                      <a:pt x="488" y="60"/>
                    </a:cubicBezTo>
                    <a:cubicBezTo>
                      <a:pt x="475" y="103"/>
                      <a:pt x="477" y="97"/>
                      <a:pt x="428" y="103"/>
                    </a:cubicBezTo>
                    <a:cubicBezTo>
                      <a:pt x="401" y="111"/>
                      <a:pt x="395" y="129"/>
                      <a:pt x="368" y="137"/>
                    </a:cubicBezTo>
                    <a:cubicBezTo>
                      <a:pt x="340" y="122"/>
                      <a:pt x="313" y="104"/>
                      <a:pt x="283" y="95"/>
                    </a:cubicBezTo>
                    <a:cubicBezTo>
                      <a:pt x="270" y="91"/>
                      <a:pt x="244" y="82"/>
                      <a:pt x="244" y="82"/>
                    </a:cubicBezTo>
                    <a:cubicBezTo>
                      <a:pt x="220" y="83"/>
                      <a:pt x="145" y="105"/>
                      <a:pt x="145" y="65"/>
                    </a:cubicBezTo>
                    <a:close/>
                  </a:path>
                </a:pathLst>
              </a:custGeom>
              <a:solidFill>
                <a:schemeClr val="accent6">
                  <a:lumMod val="50000"/>
                </a:schemeClr>
              </a:solidFill>
              <a:ln w="21590" cap="flat" cmpd="sng">
                <a:solidFill>
                  <a:srgbClr val="FFFFFF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29" name="Freeform 52">
                <a:extLst>
                  <a:ext uri="{FF2B5EF4-FFF2-40B4-BE49-F238E27FC236}">
                    <a16:creationId xmlns:a16="http://schemas.microsoft.com/office/drawing/2014/main" id="{00000000-0008-0000-0C00-00001D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133" y="4401"/>
                <a:ext cx="1440" cy="2056"/>
              </a:xfrm>
              <a:custGeom>
                <a:avLst/>
                <a:gdLst>
                  <a:gd name="T0" fmla="*/ 35 w 580"/>
                  <a:gd name="T1" fmla="*/ 197 h 867"/>
                  <a:gd name="T2" fmla="*/ 53 w 580"/>
                  <a:gd name="T3" fmla="*/ 242 h 867"/>
                  <a:gd name="T4" fmla="*/ 26 w 580"/>
                  <a:gd name="T5" fmla="*/ 277 h 867"/>
                  <a:gd name="T6" fmla="*/ 26 w 580"/>
                  <a:gd name="T7" fmla="*/ 340 h 867"/>
                  <a:gd name="T8" fmla="*/ 80 w 580"/>
                  <a:gd name="T9" fmla="*/ 375 h 867"/>
                  <a:gd name="T10" fmla="*/ 116 w 580"/>
                  <a:gd name="T11" fmla="*/ 429 h 867"/>
                  <a:gd name="T12" fmla="*/ 169 w 580"/>
                  <a:gd name="T13" fmla="*/ 465 h 867"/>
                  <a:gd name="T14" fmla="*/ 187 w 580"/>
                  <a:gd name="T15" fmla="*/ 500 h 867"/>
                  <a:gd name="T16" fmla="*/ 196 w 580"/>
                  <a:gd name="T17" fmla="*/ 563 h 867"/>
                  <a:gd name="T18" fmla="*/ 205 w 580"/>
                  <a:gd name="T19" fmla="*/ 590 h 867"/>
                  <a:gd name="T20" fmla="*/ 169 w 580"/>
                  <a:gd name="T21" fmla="*/ 608 h 867"/>
                  <a:gd name="T22" fmla="*/ 152 w 580"/>
                  <a:gd name="T23" fmla="*/ 634 h 867"/>
                  <a:gd name="T24" fmla="*/ 89 w 580"/>
                  <a:gd name="T25" fmla="*/ 643 h 867"/>
                  <a:gd name="T26" fmla="*/ 62 w 580"/>
                  <a:gd name="T27" fmla="*/ 679 h 867"/>
                  <a:gd name="T28" fmla="*/ 26 w 580"/>
                  <a:gd name="T29" fmla="*/ 706 h 867"/>
                  <a:gd name="T30" fmla="*/ 35 w 580"/>
                  <a:gd name="T31" fmla="*/ 795 h 867"/>
                  <a:gd name="T32" fmla="*/ 80 w 580"/>
                  <a:gd name="T33" fmla="*/ 813 h 867"/>
                  <a:gd name="T34" fmla="*/ 107 w 580"/>
                  <a:gd name="T35" fmla="*/ 813 h 867"/>
                  <a:gd name="T36" fmla="*/ 143 w 580"/>
                  <a:gd name="T37" fmla="*/ 822 h 867"/>
                  <a:gd name="T38" fmla="*/ 143 w 580"/>
                  <a:gd name="T39" fmla="*/ 849 h 867"/>
                  <a:gd name="T40" fmla="*/ 178 w 580"/>
                  <a:gd name="T41" fmla="*/ 858 h 867"/>
                  <a:gd name="T42" fmla="*/ 223 w 580"/>
                  <a:gd name="T43" fmla="*/ 867 h 867"/>
                  <a:gd name="T44" fmla="*/ 241 w 580"/>
                  <a:gd name="T45" fmla="*/ 840 h 867"/>
                  <a:gd name="T46" fmla="*/ 259 w 580"/>
                  <a:gd name="T47" fmla="*/ 804 h 867"/>
                  <a:gd name="T48" fmla="*/ 286 w 580"/>
                  <a:gd name="T49" fmla="*/ 786 h 867"/>
                  <a:gd name="T50" fmla="*/ 286 w 580"/>
                  <a:gd name="T51" fmla="*/ 742 h 867"/>
                  <a:gd name="T52" fmla="*/ 294 w 580"/>
                  <a:gd name="T53" fmla="*/ 697 h 867"/>
                  <a:gd name="T54" fmla="*/ 330 w 580"/>
                  <a:gd name="T55" fmla="*/ 688 h 867"/>
                  <a:gd name="T56" fmla="*/ 330 w 580"/>
                  <a:gd name="T57" fmla="*/ 634 h 867"/>
                  <a:gd name="T58" fmla="*/ 321 w 580"/>
                  <a:gd name="T59" fmla="*/ 581 h 867"/>
                  <a:gd name="T60" fmla="*/ 339 w 580"/>
                  <a:gd name="T61" fmla="*/ 545 h 867"/>
                  <a:gd name="T62" fmla="*/ 366 w 580"/>
                  <a:gd name="T63" fmla="*/ 536 h 867"/>
                  <a:gd name="T64" fmla="*/ 402 w 580"/>
                  <a:gd name="T65" fmla="*/ 527 h 867"/>
                  <a:gd name="T66" fmla="*/ 419 w 580"/>
                  <a:gd name="T67" fmla="*/ 545 h 867"/>
                  <a:gd name="T68" fmla="*/ 446 w 580"/>
                  <a:gd name="T69" fmla="*/ 554 h 867"/>
                  <a:gd name="T70" fmla="*/ 482 w 580"/>
                  <a:gd name="T71" fmla="*/ 536 h 867"/>
                  <a:gd name="T72" fmla="*/ 527 w 580"/>
                  <a:gd name="T73" fmla="*/ 527 h 867"/>
                  <a:gd name="T74" fmla="*/ 545 w 580"/>
                  <a:gd name="T75" fmla="*/ 509 h 867"/>
                  <a:gd name="T76" fmla="*/ 518 w 580"/>
                  <a:gd name="T77" fmla="*/ 500 h 867"/>
                  <a:gd name="T78" fmla="*/ 509 w 580"/>
                  <a:gd name="T79" fmla="*/ 474 h 867"/>
                  <a:gd name="T80" fmla="*/ 545 w 580"/>
                  <a:gd name="T81" fmla="*/ 474 h 867"/>
                  <a:gd name="T82" fmla="*/ 553 w 580"/>
                  <a:gd name="T83" fmla="*/ 447 h 867"/>
                  <a:gd name="T84" fmla="*/ 571 w 580"/>
                  <a:gd name="T85" fmla="*/ 429 h 867"/>
                  <a:gd name="T86" fmla="*/ 580 w 580"/>
                  <a:gd name="T87" fmla="*/ 420 h 867"/>
                  <a:gd name="T88" fmla="*/ 545 w 580"/>
                  <a:gd name="T89" fmla="*/ 402 h 867"/>
                  <a:gd name="T90" fmla="*/ 527 w 580"/>
                  <a:gd name="T91" fmla="*/ 384 h 867"/>
                  <a:gd name="T92" fmla="*/ 553 w 580"/>
                  <a:gd name="T93" fmla="*/ 367 h 867"/>
                  <a:gd name="T94" fmla="*/ 527 w 580"/>
                  <a:gd name="T95" fmla="*/ 313 h 867"/>
                  <a:gd name="T96" fmla="*/ 428 w 580"/>
                  <a:gd name="T97" fmla="*/ 304 h 867"/>
                  <a:gd name="T98" fmla="*/ 464 w 580"/>
                  <a:gd name="T99" fmla="*/ 259 h 867"/>
                  <a:gd name="T100" fmla="*/ 527 w 580"/>
                  <a:gd name="T101" fmla="*/ 152 h 867"/>
                  <a:gd name="T102" fmla="*/ 482 w 580"/>
                  <a:gd name="T103" fmla="*/ 99 h 867"/>
                  <a:gd name="T104" fmla="*/ 437 w 580"/>
                  <a:gd name="T105" fmla="*/ 45 h 867"/>
                  <a:gd name="T106" fmla="*/ 384 w 580"/>
                  <a:gd name="T107" fmla="*/ 27 h 867"/>
                  <a:gd name="T108" fmla="*/ 339 w 580"/>
                  <a:gd name="T109" fmla="*/ 0 h 867"/>
                  <a:gd name="T110" fmla="*/ 286 w 580"/>
                  <a:gd name="T111" fmla="*/ 36 h 867"/>
                  <a:gd name="T112" fmla="*/ 241 w 580"/>
                  <a:gd name="T113" fmla="*/ 81 h 867"/>
                  <a:gd name="T114" fmla="*/ 205 w 580"/>
                  <a:gd name="T115" fmla="*/ 99 h 867"/>
                  <a:gd name="T116" fmla="*/ 152 w 580"/>
                  <a:gd name="T117" fmla="*/ 99 h 867"/>
                  <a:gd name="T118" fmla="*/ 62 w 580"/>
                  <a:gd name="T119" fmla="*/ 63 h 867"/>
                  <a:gd name="T120" fmla="*/ 26 w 580"/>
                  <a:gd name="T121" fmla="*/ 54 h 867"/>
                  <a:gd name="T122" fmla="*/ 18 w 580"/>
                  <a:gd name="T123" fmla="*/ 108 h 867"/>
                  <a:gd name="T124" fmla="*/ 0 w 580"/>
                  <a:gd name="T125" fmla="*/ 152 h 867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580" h="867">
                    <a:moveTo>
                      <a:pt x="0" y="152"/>
                    </a:moveTo>
                    <a:lnTo>
                      <a:pt x="0" y="161"/>
                    </a:lnTo>
                    <a:lnTo>
                      <a:pt x="9" y="161"/>
                    </a:lnTo>
                    <a:lnTo>
                      <a:pt x="9" y="161"/>
                    </a:lnTo>
                    <a:lnTo>
                      <a:pt x="9" y="161"/>
                    </a:lnTo>
                    <a:lnTo>
                      <a:pt x="9" y="161"/>
                    </a:lnTo>
                    <a:lnTo>
                      <a:pt x="18" y="161"/>
                    </a:lnTo>
                    <a:lnTo>
                      <a:pt x="18" y="170"/>
                    </a:lnTo>
                    <a:lnTo>
                      <a:pt x="18" y="170"/>
                    </a:lnTo>
                    <a:lnTo>
                      <a:pt x="26" y="170"/>
                    </a:lnTo>
                    <a:lnTo>
                      <a:pt x="26" y="179"/>
                    </a:lnTo>
                    <a:lnTo>
                      <a:pt x="26" y="179"/>
                    </a:lnTo>
                    <a:lnTo>
                      <a:pt x="26" y="179"/>
                    </a:lnTo>
                    <a:lnTo>
                      <a:pt x="35" y="188"/>
                    </a:lnTo>
                    <a:lnTo>
                      <a:pt x="35" y="188"/>
                    </a:lnTo>
                    <a:lnTo>
                      <a:pt x="35" y="188"/>
                    </a:lnTo>
                    <a:lnTo>
                      <a:pt x="35" y="197"/>
                    </a:lnTo>
                    <a:lnTo>
                      <a:pt x="44" y="197"/>
                    </a:lnTo>
                    <a:lnTo>
                      <a:pt x="44" y="197"/>
                    </a:lnTo>
                    <a:lnTo>
                      <a:pt x="44" y="197"/>
                    </a:lnTo>
                    <a:lnTo>
                      <a:pt x="53" y="206"/>
                    </a:lnTo>
                    <a:lnTo>
                      <a:pt x="53" y="206"/>
                    </a:lnTo>
                    <a:lnTo>
                      <a:pt x="53" y="206"/>
                    </a:lnTo>
                    <a:lnTo>
                      <a:pt x="53" y="215"/>
                    </a:lnTo>
                    <a:lnTo>
                      <a:pt x="53" y="215"/>
                    </a:lnTo>
                    <a:lnTo>
                      <a:pt x="53" y="215"/>
                    </a:lnTo>
                    <a:lnTo>
                      <a:pt x="53" y="224"/>
                    </a:lnTo>
                    <a:lnTo>
                      <a:pt x="53" y="224"/>
                    </a:lnTo>
                    <a:lnTo>
                      <a:pt x="53" y="224"/>
                    </a:lnTo>
                    <a:lnTo>
                      <a:pt x="53" y="233"/>
                    </a:lnTo>
                    <a:lnTo>
                      <a:pt x="53" y="233"/>
                    </a:lnTo>
                    <a:lnTo>
                      <a:pt x="53" y="242"/>
                    </a:lnTo>
                    <a:lnTo>
                      <a:pt x="53" y="242"/>
                    </a:lnTo>
                    <a:lnTo>
                      <a:pt x="53" y="242"/>
                    </a:lnTo>
                    <a:lnTo>
                      <a:pt x="53" y="250"/>
                    </a:lnTo>
                    <a:lnTo>
                      <a:pt x="53" y="250"/>
                    </a:lnTo>
                    <a:lnTo>
                      <a:pt x="53" y="250"/>
                    </a:lnTo>
                    <a:lnTo>
                      <a:pt x="53" y="250"/>
                    </a:lnTo>
                    <a:lnTo>
                      <a:pt x="53" y="259"/>
                    </a:lnTo>
                    <a:lnTo>
                      <a:pt x="53" y="259"/>
                    </a:lnTo>
                    <a:lnTo>
                      <a:pt x="53" y="259"/>
                    </a:lnTo>
                    <a:lnTo>
                      <a:pt x="53" y="259"/>
                    </a:lnTo>
                    <a:lnTo>
                      <a:pt x="44" y="259"/>
                    </a:lnTo>
                    <a:lnTo>
                      <a:pt x="44" y="268"/>
                    </a:lnTo>
                    <a:lnTo>
                      <a:pt x="44" y="268"/>
                    </a:lnTo>
                    <a:lnTo>
                      <a:pt x="35" y="268"/>
                    </a:lnTo>
                    <a:lnTo>
                      <a:pt x="35" y="268"/>
                    </a:lnTo>
                    <a:lnTo>
                      <a:pt x="35" y="268"/>
                    </a:lnTo>
                    <a:lnTo>
                      <a:pt x="35" y="268"/>
                    </a:lnTo>
                    <a:lnTo>
                      <a:pt x="26" y="268"/>
                    </a:lnTo>
                    <a:lnTo>
                      <a:pt x="26" y="277"/>
                    </a:lnTo>
                    <a:lnTo>
                      <a:pt x="26" y="277"/>
                    </a:lnTo>
                    <a:lnTo>
                      <a:pt x="26" y="277"/>
                    </a:lnTo>
                    <a:lnTo>
                      <a:pt x="26" y="286"/>
                    </a:lnTo>
                    <a:lnTo>
                      <a:pt x="26" y="286"/>
                    </a:lnTo>
                    <a:lnTo>
                      <a:pt x="26" y="286"/>
                    </a:lnTo>
                    <a:lnTo>
                      <a:pt x="26" y="295"/>
                    </a:lnTo>
                    <a:lnTo>
                      <a:pt x="26" y="295"/>
                    </a:lnTo>
                    <a:lnTo>
                      <a:pt x="26" y="304"/>
                    </a:lnTo>
                    <a:lnTo>
                      <a:pt x="18" y="304"/>
                    </a:lnTo>
                    <a:lnTo>
                      <a:pt x="18" y="313"/>
                    </a:lnTo>
                    <a:lnTo>
                      <a:pt x="18" y="322"/>
                    </a:lnTo>
                    <a:lnTo>
                      <a:pt x="18" y="322"/>
                    </a:lnTo>
                    <a:lnTo>
                      <a:pt x="18" y="331"/>
                    </a:lnTo>
                    <a:lnTo>
                      <a:pt x="26" y="331"/>
                    </a:lnTo>
                    <a:lnTo>
                      <a:pt x="26" y="340"/>
                    </a:lnTo>
                    <a:lnTo>
                      <a:pt x="26" y="340"/>
                    </a:lnTo>
                    <a:lnTo>
                      <a:pt x="26" y="340"/>
                    </a:lnTo>
                    <a:lnTo>
                      <a:pt x="35" y="340"/>
                    </a:lnTo>
                    <a:lnTo>
                      <a:pt x="35" y="340"/>
                    </a:lnTo>
                    <a:lnTo>
                      <a:pt x="44" y="340"/>
                    </a:lnTo>
                    <a:lnTo>
                      <a:pt x="44" y="349"/>
                    </a:lnTo>
                    <a:lnTo>
                      <a:pt x="44" y="349"/>
                    </a:lnTo>
                    <a:lnTo>
                      <a:pt x="53" y="349"/>
                    </a:lnTo>
                    <a:lnTo>
                      <a:pt x="53" y="349"/>
                    </a:lnTo>
                    <a:lnTo>
                      <a:pt x="62" y="349"/>
                    </a:lnTo>
                    <a:lnTo>
                      <a:pt x="62" y="358"/>
                    </a:lnTo>
                    <a:lnTo>
                      <a:pt x="62" y="358"/>
                    </a:lnTo>
                    <a:lnTo>
                      <a:pt x="71" y="358"/>
                    </a:lnTo>
                    <a:lnTo>
                      <a:pt x="71" y="358"/>
                    </a:lnTo>
                    <a:lnTo>
                      <a:pt x="71" y="358"/>
                    </a:lnTo>
                    <a:lnTo>
                      <a:pt x="80" y="367"/>
                    </a:lnTo>
                    <a:lnTo>
                      <a:pt x="80" y="367"/>
                    </a:lnTo>
                    <a:lnTo>
                      <a:pt x="80" y="367"/>
                    </a:lnTo>
                    <a:lnTo>
                      <a:pt x="80" y="375"/>
                    </a:lnTo>
                    <a:lnTo>
                      <a:pt x="80" y="375"/>
                    </a:lnTo>
                    <a:lnTo>
                      <a:pt x="89" y="375"/>
                    </a:lnTo>
                    <a:lnTo>
                      <a:pt x="89" y="384"/>
                    </a:lnTo>
                    <a:lnTo>
                      <a:pt x="89" y="384"/>
                    </a:lnTo>
                    <a:lnTo>
                      <a:pt x="89" y="384"/>
                    </a:lnTo>
                    <a:lnTo>
                      <a:pt x="89" y="384"/>
                    </a:lnTo>
                    <a:lnTo>
                      <a:pt x="98" y="393"/>
                    </a:lnTo>
                    <a:lnTo>
                      <a:pt x="98" y="393"/>
                    </a:lnTo>
                    <a:lnTo>
                      <a:pt x="98" y="393"/>
                    </a:lnTo>
                    <a:lnTo>
                      <a:pt x="98" y="393"/>
                    </a:lnTo>
                    <a:lnTo>
                      <a:pt x="107" y="393"/>
                    </a:lnTo>
                    <a:lnTo>
                      <a:pt x="107" y="402"/>
                    </a:lnTo>
                    <a:lnTo>
                      <a:pt x="107" y="402"/>
                    </a:lnTo>
                    <a:lnTo>
                      <a:pt x="107" y="411"/>
                    </a:lnTo>
                    <a:lnTo>
                      <a:pt x="107" y="411"/>
                    </a:lnTo>
                    <a:lnTo>
                      <a:pt x="116" y="420"/>
                    </a:lnTo>
                    <a:lnTo>
                      <a:pt x="116" y="429"/>
                    </a:lnTo>
                    <a:lnTo>
                      <a:pt x="116" y="429"/>
                    </a:lnTo>
                    <a:lnTo>
                      <a:pt x="116" y="438"/>
                    </a:lnTo>
                    <a:lnTo>
                      <a:pt x="125" y="438"/>
                    </a:lnTo>
                    <a:lnTo>
                      <a:pt x="125" y="447"/>
                    </a:lnTo>
                    <a:lnTo>
                      <a:pt x="125" y="447"/>
                    </a:lnTo>
                    <a:lnTo>
                      <a:pt x="134" y="447"/>
                    </a:lnTo>
                    <a:lnTo>
                      <a:pt x="134" y="456"/>
                    </a:lnTo>
                    <a:lnTo>
                      <a:pt x="143" y="456"/>
                    </a:lnTo>
                    <a:lnTo>
                      <a:pt x="143" y="456"/>
                    </a:lnTo>
                    <a:lnTo>
                      <a:pt x="143" y="456"/>
                    </a:lnTo>
                    <a:lnTo>
                      <a:pt x="152" y="456"/>
                    </a:lnTo>
                    <a:lnTo>
                      <a:pt x="152" y="456"/>
                    </a:lnTo>
                    <a:lnTo>
                      <a:pt x="152" y="465"/>
                    </a:lnTo>
                    <a:lnTo>
                      <a:pt x="160" y="465"/>
                    </a:lnTo>
                    <a:lnTo>
                      <a:pt x="160" y="465"/>
                    </a:lnTo>
                    <a:lnTo>
                      <a:pt x="160" y="465"/>
                    </a:lnTo>
                    <a:lnTo>
                      <a:pt x="169" y="465"/>
                    </a:lnTo>
                    <a:lnTo>
                      <a:pt x="169" y="465"/>
                    </a:lnTo>
                    <a:lnTo>
                      <a:pt x="169" y="465"/>
                    </a:lnTo>
                    <a:lnTo>
                      <a:pt x="169" y="465"/>
                    </a:lnTo>
                    <a:lnTo>
                      <a:pt x="178" y="465"/>
                    </a:lnTo>
                    <a:lnTo>
                      <a:pt x="178" y="474"/>
                    </a:lnTo>
                    <a:lnTo>
                      <a:pt x="187" y="474"/>
                    </a:lnTo>
                    <a:lnTo>
                      <a:pt x="187" y="474"/>
                    </a:lnTo>
                    <a:lnTo>
                      <a:pt x="187" y="474"/>
                    </a:lnTo>
                    <a:lnTo>
                      <a:pt x="196" y="474"/>
                    </a:lnTo>
                    <a:lnTo>
                      <a:pt x="196" y="483"/>
                    </a:lnTo>
                    <a:lnTo>
                      <a:pt x="196" y="483"/>
                    </a:lnTo>
                    <a:lnTo>
                      <a:pt x="196" y="483"/>
                    </a:lnTo>
                    <a:lnTo>
                      <a:pt x="196" y="492"/>
                    </a:lnTo>
                    <a:lnTo>
                      <a:pt x="196" y="492"/>
                    </a:lnTo>
                    <a:lnTo>
                      <a:pt x="196" y="492"/>
                    </a:lnTo>
                    <a:lnTo>
                      <a:pt x="196" y="500"/>
                    </a:lnTo>
                    <a:lnTo>
                      <a:pt x="187" y="500"/>
                    </a:lnTo>
                    <a:lnTo>
                      <a:pt x="187" y="500"/>
                    </a:lnTo>
                    <a:lnTo>
                      <a:pt x="187" y="509"/>
                    </a:lnTo>
                    <a:lnTo>
                      <a:pt x="187" y="509"/>
                    </a:lnTo>
                    <a:lnTo>
                      <a:pt x="187" y="518"/>
                    </a:lnTo>
                    <a:lnTo>
                      <a:pt x="187" y="518"/>
                    </a:lnTo>
                    <a:lnTo>
                      <a:pt x="187" y="527"/>
                    </a:lnTo>
                    <a:lnTo>
                      <a:pt x="187" y="527"/>
                    </a:lnTo>
                    <a:lnTo>
                      <a:pt x="187" y="536"/>
                    </a:lnTo>
                    <a:lnTo>
                      <a:pt x="187" y="536"/>
                    </a:lnTo>
                    <a:lnTo>
                      <a:pt x="187" y="545"/>
                    </a:lnTo>
                    <a:lnTo>
                      <a:pt x="187" y="545"/>
                    </a:lnTo>
                    <a:lnTo>
                      <a:pt x="187" y="545"/>
                    </a:lnTo>
                    <a:lnTo>
                      <a:pt x="187" y="554"/>
                    </a:lnTo>
                    <a:lnTo>
                      <a:pt x="196" y="554"/>
                    </a:lnTo>
                    <a:lnTo>
                      <a:pt x="196" y="563"/>
                    </a:lnTo>
                    <a:lnTo>
                      <a:pt x="196" y="563"/>
                    </a:lnTo>
                    <a:lnTo>
                      <a:pt x="196" y="563"/>
                    </a:lnTo>
                    <a:lnTo>
                      <a:pt x="196" y="572"/>
                    </a:lnTo>
                    <a:lnTo>
                      <a:pt x="196" y="572"/>
                    </a:lnTo>
                    <a:lnTo>
                      <a:pt x="196" y="572"/>
                    </a:lnTo>
                    <a:lnTo>
                      <a:pt x="205" y="572"/>
                    </a:lnTo>
                    <a:lnTo>
                      <a:pt x="205" y="581"/>
                    </a:lnTo>
                    <a:lnTo>
                      <a:pt x="205" y="581"/>
                    </a:lnTo>
                    <a:lnTo>
                      <a:pt x="205" y="581"/>
                    </a:lnTo>
                    <a:lnTo>
                      <a:pt x="205" y="581"/>
                    </a:lnTo>
                    <a:lnTo>
                      <a:pt x="205" y="581"/>
                    </a:lnTo>
                    <a:lnTo>
                      <a:pt x="205" y="581"/>
                    </a:lnTo>
                    <a:lnTo>
                      <a:pt x="205" y="590"/>
                    </a:lnTo>
                    <a:lnTo>
                      <a:pt x="205" y="590"/>
                    </a:lnTo>
                    <a:lnTo>
                      <a:pt x="205" y="590"/>
                    </a:lnTo>
                    <a:lnTo>
                      <a:pt x="205" y="590"/>
                    </a:lnTo>
                    <a:lnTo>
                      <a:pt x="205" y="590"/>
                    </a:lnTo>
                    <a:lnTo>
                      <a:pt x="205" y="590"/>
                    </a:lnTo>
                    <a:lnTo>
                      <a:pt x="205" y="590"/>
                    </a:lnTo>
                    <a:lnTo>
                      <a:pt x="205" y="590"/>
                    </a:lnTo>
                    <a:lnTo>
                      <a:pt x="205" y="590"/>
                    </a:lnTo>
                    <a:lnTo>
                      <a:pt x="196" y="599"/>
                    </a:lnTo>
                    <a:lnTo>
                      <a:pt x="196" y="599"/>
                    </a:lnTo>
                    <a:lnTo>
                      <a:pt x="196" y="599"/>
                    </a:lnTo>
                    <a:lnTo>
                      <a:pt x="196" y="599"/>
                    </a:lnTo>
                    <a:lnTo>
                      <a:pt x="196" y="599"/>
                    </a:lnTo>
                    <a:lnTo>
                      <a:pt x="187" y="599"/>
                    </a:lnTo>
                    <a:lnTo>
                      <a:pt x="187" y="599"/>
                    </a:lnTo>
                    <a:lnTo>
                      <a:pt x="187" y="599"/>
                    </a:lnTo>
                    <a:lnTo>
                      <a:pt x="178" y="599"/>
                    </a:lnTo>
                    <a:lnTo>
                      <a:pt x="178" y="599"/>
                    </a:lnTo>
                    <a:lnTo>
                      <a:pt x="178" y="599"/>
                    </a:lnTo>
                    <a:lnTo>
                      <a:pt x="169" y="599"/>
                    </a:lnTo>
                    <a:lnTo>
                      <a:pt x="169" y="599"/>
                    </a:lnTo>
                    <a:lnTo>
                      <a:pt x="169" y="599"/>
                    </a:lnTo>
                    <a:lnTo>
                      <a:pt x="169" y="608"/>
                    </a:lnTo>
                    <a:lnTo>
                      <a:pt x="169" y="608"/>
                    </a:lnTo>
                    <a:lnTo>
                      <a:pt x="169" y="608"/>
                    </a:lnTo>
                    <a:lnTo>
                      <a:pt x="178" y="617"/>
                    </a:lnTo>
                    <a:lnTo>
                      <a:pt x="178" y="617"/>
                    </a:lnTo>
                    <a:lnTo>
                      <a:pt x="178" y="617"/>
                    </a:lnTo>
                    <a:lnTo>
                      <a:pt x="178" y="626"/>
                    </a:lnTo>
                    <a:lnTo>
                      <a:pt x="178" y="626"/>
                    </a:lnTo>
                    <a:lnTo>
                      <a:pt x="169" y="626"/>
                    </a:lnTo>
                    <a:lnTo>
                      <a:pt x="169" y="626"/>
                    </a:lnTo>
                    <a:lnTo>
                      <a:pt x="169" y="626"/>
                    </a:lnTo>
                    <a:lnTo>
                      <a:pt x="169" y="626"/>
                    </a:lnTo>
                    <a:lnTo>
                      <a:pt x="160" y="626"/>
                    </a:lnTo>
                    <a:lnTo>
                      <a:pt x="160" y="626"/>
                    </a:lnTo>
                    <a:lnTo>
                      <a:pt x="160" y="626"/>
                    </a:lnTo>
                    <a:lnTo>
                      <a:pt x="152" y="634"/>
                    </a:lnTo>
                    <a:lnTo>
                      <a:pt x="152" y="634"/>
                    </a:lnTo>
                    <a:lnTo>
                      <a:pt x="152" y="634"/>
                    </a:lnTo>
                    <a:lnTo>
                      <a:pt x="143" y="634"/>
                    </a:lnTo>
                    <a:lnTo>
                      <a:pt x="143" y="634"/>
                    </a:lnTo>
                    <a:lnTo>
                      <a:pt x="134" y="634"/>
                    </a:lnTo>
                    <a:lnTo>
                      <a:pt x="134" y="634"/>
                    </a:lnTo>
                    <a:lnTo>
                      <a:pt x="134" y="634"/>
                    </a:lnTo>
                    <a:lnTo>
                      <a:pt x="125" y="634"/>
                    </a:lnTo>
                    <a:lnTo>
                      <a:pt x="125" y="634"/>
                    </a:lnTo>
                    <a:lnTo>
                      <a:pt x="116" y="634"/>
                    </a:lnTo>
                    <a:lnTo>
                      <a:pt x="116" y="634"/>
                    </a:lnTo>
                    <a:lnTo>
                      <a:pt x="107" y="634"/>
                    </a:lnTo>
                    <a:lnTo>
                      <a:pt x="107" y="643"/>
                    </a:lnTo>
                    <a:lnTo>
                      <a:pt x="107" y="643"/>
                    </a:lnTo>
                    <a:lnTo>
                      <a:pt x="98" y="643"/>
                    </a:lnTo>
                    <a:lnTo>
                      <a:pt x="98" y="643"/>
                    </a:lnTo>
                    <a:lnTo>
                      <a:pt x="98" y="643"/>
                    </a:lnTo>
                    <a:lnTo>
                      <a:pt x="89" y="643"/>
                    </a:lnTo>
                    <a:lnTo>
                      <a:pt x="89" y="643"/>
                    </a:lnTo>
                    <a:lnTo>
                      <a:pt x="89" y="643"/>
                    </a:lnTo>
                    <a:lnTo>
                      <a:pt x="89" y="643"/>
                    </a:lnTo>
                    <a:lnTo>
                      <a:pt x="80" y="643"/>
                    </a:lnTo>
                    <a:lnTo>
                      <a:pt x="80" y="643"/>
                    </a:lnTo>
                    <a:lnTo>
                      <a:pt x="80" y="643"/>
                    </a:lnTo>
                    <a:lnTo>
                      <a:pt x="80" y="652"/>
                    </a:lnTo>
                    <a:lnTo>
                      <a:pt x="80" y="652"/>
                    </a:lnTo>
                    <a:lnTo>
                      <a:pt x="80" y="652"/>
                    </a:lnTo>
                    <a:lnTo>
                      <a:pt x="80" y="652"/>
                    </a:lnTo>
                    <a:lnTo>
                      <a:pt x="71" y="661"/>
                    </a:lnTo>
                    <a:lnTo>
                      <a:pt x="71" y="661"/>
                    </a:lnTo>
                    <a:lnTo>
                      <a:pt x="71" y="661"/>
                    </a:lnTo>
                    <a:lnTo>
                      <a:pt x="71" y="670"/>
                    </a:lnTo>
                    <a:lnTo>
                      <a:pt x="71" y="670"/>
                    </a:lnTo>
                    <a:lnTo>
                      <a:pt x="62" y="670"/>
                    </a:lnTo>
                    <a:lnTo>
                      <a:pt x="62" y="670"/>
                    </a:lnTo>
                    <a:lnTo>
                      <a:pt x="62" y="679"/>
                    </a:lnTo>
                    <a:lnTo>
                      <a:pt x="53" y="679"/>
                    </a:lnTo>
                    <a:lnTo>
                      <a:pt x="53" y="679"/>
                    </a:lnTo>
                    <a:lnTo>
                      <a:pt x="53" y="679"/>
                    </a:lnTo>
                    <a:lnTo>
                      <a:pt x="53" y="679"/>
                    </a:lnTo>
                    <a:lnTo>
                      <a:pt x="44" y="679"/>
                    </a:lnTo>
                    <a:lnTo>
                      <a:pt x="44" y="679"/>
                    </a:lnTo>
                    <a:lnTo>
                      <a:pt x="44" y="679"/>
                    </a:lnTo>
                    <a:lnTo>
                      <a:pt x="44" y="679"/>
                    </a:lnTo>
                    <a:lnTo>
                      <a:pt x="35" y="679"/>
                    </a:lnTo>
                    <a:lnTo>
                      <a:pt x="35" y="679"/>
                    </a:lnTo>
                    <a:lnTo>
                      <a:pt x="35" y="688"/>
                    </a:lnTo>
                    <a:lnTo>
                      <a:pt x="35" y="688"/>
                    </a:lnTo>
                    <a:lnTo>
                      <a:pt x="35" y="688"/>
                    </a:lnTo>
                    <a:lnTo>
                      <a:pt x="26" y="697"/>
                    </a:lnTo>
                    <a:lnTo>
                      <a:pt x="26" y="697"/>
                    </a:lnTo>
                    <a:lnTo>
                      <a:pt x="26" y="706"/>
                    </a:lnTo>
                    <a:lnTo>
                      <a:pt x="26" y="706"/>
                    </a:lnTo>
                    <a:lnTo>
                      <a:pt x="26" y="715"/>
                    </a:lnTo>
                    <a:lnTo>
                      <a:pt x="26" y="724"/>
                    </a:lnTo>
                    <a:lnTo>
                      <a:pt x="26" y="724"/>
                    </a:lnTo>
                    <a:lnTo>
                      <a:pt x="26" y="733"/>
                    </a:lnTo>
                    <a:lnTo>
                      <a:pt x="26" y="742"/>
                    </a:lnTo>
                    <a:lnTo>
                      <a:pt x="26" y="751"/>
                    </a:lnTo>
                    <a:lnTo>
                      <a:pt x="35" y="759"/>
                    </a:lnTo>
                    <a:lnTo>
                      <a:pt x="35" y="759"/>
                    </a:lnTo>
                    <a:lnTo>
                      <a:pt x="35" y="768"/>
                    </a:lnTo>
                    <a:lnTo>
                      <a:pt x="35" y="777"/>
                    </a:lnTo>
                    <a:lnTo>
                      <a:pt x="35" y="777"/>
                    </a:lnTo>
                    <a:lnTo>
                      <a:pt x="35" y="786"/>
                    </a:lnTo>
                    <a:lnTo>
                      <a:pt x="35" y="786"/>
                    </a:lnTo>
                    <a:lnTo>
                      <a:pt x="35" y="786"/>
                    </a:lnTo>
                    <a:lnTo>
                      <a:pt x="35" y="795"/>
                    </a:lnTo>
                    <a:lnTo>
                      <a:pt x="35" y="795"/>
                    </a:lnTo>
                    <a:lnTo>
                      <a:pt x="35" y="795"/>
                    </a:lnTo>
                    <a:lnTo>
                      <a:pt x="35" y="804"/>
                    </a:lnTo>
                    <a:lnTo>
                      <a:pt x="35" y="804"/>
                    </a:lnTo>
                    <a:lnTo>
                      <a:pt x="35" y="804"/>
                    </a:lnTo>
                    <a:lnTo>
                      <a:pt x="44" y="804"/>
                    </a:lnTo>
                    <a:lnTo>
                      <a:pt x="44" y="813"/>
                    </a:lnTo>
                    <a:lnTo>
                      <a:pt x="44" y="813"/>
                    </a:lnTo>
                    <a:lnTo>
                      <a:pt x="53" y="813"/>
                    </a:lnTo>
                    <a:lnTo>
                      <a:pt x="53" y="813"/>
                    </a:lnTo>
                    <a:lnTo>
                      <a:pt x="62" y="813"/>
                    </a:lnTo>
                    <a:lnTo>
                      <a:pt x="62" y="813"/>
                    </a:lnTo>
                    <a:lnTo>
                      <a:pt x="62" y="813"/>
                    </a:lnTo>
                    <a:lnTo>
                      <a:pt x="62" y="813"/>
                    </a:lnTo>
                    <a:lnTo>
                      <a:pt x="71" y="813"/>
                    </a:lnTo>
                    <a:lnTo>
                      <a:pt x="71" y="813"/>
                    </a:lnTo>
                    <a:lnTo>
                      <a:pt x="71" y="813"/>
                    </a:lnTo>
                    <a:lnTo>
                      <a:pt x="80" y="813"/>
                    </a:lnTo>
                    <a:lnTo>
                      <a:pt x="80" y="813"/>
                    </a:lnTo>
                    <a:lnTo>
                      <a:pt x="80" y="813"/>
                    </a:lnTo>
                    <a:lnTo>
                      <a:pt x="80" y="804"/>
                    </a:lnTo>
                    <a:lnTo>
                      <a:pt x="80" y="804"/>
                    </a:lnTo>
                    <a:lnTo>
                      <a:pt x="80" y="804"/>
                    </a:lnTo>
                    <a:lnTo>
                      <a:pt x="80" y="804"/>
                    </a:lnTo>
                    <a:lnTo>
                      <a:pt x="80" y="804"/>
                    </a:lnTo>
                    <a:lnTo>
                      <a:pt x="80" y="804"/>
                    </a:lnTo>
                    <a:lnTo>
                      <a:pt x="89" y="804"/>
                    </a:lnTo>
                    <a:lnTo>
                      <a:pt x="89" y="804"/>
                    </a:lnTo>
                    <a:lnTo>
                      <a:pt x="89" y="804"/>
                    </a:lnTo>
                    <a:lnTo>
                      <a:pt x="89" y="804"/>
                    </a:lnTo>
                    <a:lnTo>
                      <a:pt x="89" y="804"/>
                    </a:lnTo>
                    <a:lnTo>
                      <a:pt x="98" y="813"/>
                    </a:lnTo>
                    <a:lnTo>
                      <a:pt x="98" y="813"/>
                    </a:lnTo>
                    <a:lnTo>
                      <a:pt x="98" y="813"/>
                    </a:lnTo>
                    <a:lnTo>
                      <a:pt x="98" y="813"/>
                    </a:lnTo>
                    <a:lnTo>
                      <a:pt x="107" y="813"/>
                    </a:lnTo>
                    <a:lnTo>
                      <a:pt x="107" y="813"/>
                    </a:lnTo>
                    <a:lnTo>
                      <a:pt x="107" y="813"/>
                    </a:lnTo>
                    <a:lnTo>
                      <a:pt x="116" y="822"/>
                    </a:lnTo>
                    <a:lnTo>
                      <a:pt x="116" y="822"/>
                    </a:lnTo>
                    <a:lnTo>
                      <a:pt x="116" y="822"/>
                    </a:lnTo>
                    <a:lnTo>
                      <a:pt x="125" y="822"/>
                    </a:lnTo>
                    <a:lnTo>
                      <a:pt x="125" y="822"/>
                    </a:lnTo>
                    <a:lnTo>
                      <a:pt x="125" y="822"/>
                    </a:lnTo>
                    <a:lnTo>
                      <a:pt x="125" y="822"/>
                    </a:lnTo>
                    <a:lnTo>
                      <a:pt x="134" y="822"/>
                    </a:lnTo>
                    <a:lnTo>
                      <a:pt x="134" y="822"/>
                    </a:lnTo>
                    <a:lnTo>
                      <a:pt x="134" y="813"/>
                    </a:lnTo>
                    <a:lnTo>
                      <a:pt x="134" y="813"/>
                    </a:lnTo>
                    <a:lnTo>
                      <a:pt x="134" y="813"/>
                    </a:lnTo>
                    <a:lnTo>
                      <a:pt x="143" y="822"/>
                    </a:lnTo>
                    <a:lnTo>
                      <a:pt x="143" y="822"/>
                    </a:lnTo>
                    <a:lnTo>
                      <a:pt x="143" y="822"/>
                    </a:lnTo>
                    <a:lnTo>
                      <a:pt x="143" y="822"/>
                    </a:lnTo>
                    <a:lnTo>
                      <a:pt x="143" y="822"/>
                    </a:lnTo>
                    <a:lnTo>
                      <a:pt x="143" y="822"/>
                    </a:lnTo>
                    <a:lnTo>
                      <a:pt x="143" y="822"/>
                    </a:lnTo>
                    <a:lnTo>
                      <a:pt x="134" y="831"/>
                    </a:lnTo>
                    <a:lnTo>
                      <a:pt x="134" y="831"/>
                    </a:lnTo>
                    <a:lnTo>
                      <a:pt x="134" y="831"/>
                    </a:lnTo>
                    <a:lnTo>
                      <a:pt x="134" y="831"/>
                    </a:lnTo>
                    <a:lnTo>
                      <a:pt x="134" y="840"/>
                    </a:lnTo>
                    <a:lnTo>
                      <a:pt x="134" y="840"/>
                    </a:lnTo>
                    <a:lnTo>
                      <a:pt x="134" y="840"/>
                    </a:lnTo>
                    <a:lnTo>
                      <a:pt x="134" y="849"/>
                    </a:lnTo>
                    <a:lnTo>
                      <a:pt x="134" y="849"/>
                    </a:lnTo>
                    <a:lnTo>
                      <a:pt x="134" y="849"/>
                    </a:lnTo>
                    <a:lnTo>
                      <a:pt x="134" y="849"/>
                    </a:lnTo>
                    <a:lnTo>
                      <a:pt x="143" y="849"/>
                    </a:lnTo>
                    <a:lnTo>
                      <a:pt x="143" y="849"/>
                    </a:lnTo>
                    <a:lnTo>
                      <a:pt x="143" y="849"/>
                    </a:lnTo>
                    <a:lnTo>
                      <a:pt x="143" y="849"/>
                    </a:lnTo>
                    <a:lnTo>
                      <a:pt x="143" y="849"/>
                    </a:lnTo>
                    <a:lnTo>
                      <a:pt x="152" y="849"/>
                    </a:lnTo>
                    <a:lnTo>
                      <a:pt x="152" y="849"/>
                    </a:lnTo>
                    <a:lnTo>
                      <a:pt x="152" y="858"/>
                    </a:lnTo>
                    <a:lnTo>
                      <a:pt x="152" y="858"/>
                    </a:lnTo>
                    <a:lnTo>
                      <a:pt x="160" y="858"/>
                    </a:lnTo>
                    <a:lnTo>
                      <a:pt x="160" y="858"/>
                    </a:lnTo>
                    <a:lnTo>
                      <a:pt x="160" y="858"/>
                    </a:lnTo>
                    <a:lnTo>
                      <a:pt x="160" y="858"/>
                    </a:lnTo>
                    <a:lnTo>
                      <a:pt x="160" y="858"/>
                    </a:lnTo>
                    <a:lnTo>
                      <a:pt x="169" y="858"/>
                    </a:lnTo>
                    <a:lnTo>
                      <a:pt x="169" y="858"/>
                    </a:lnTo>
                    <a:lnTo>
                      <a:pt x="169" y="858"/>
                    </a:lnTo>
                    <a:lnTo>
                      <a:pt x="178" y="858"/>
                    </a:lnTo>
                    <a:lnTo>
                      <a:pt x="178" y="858"/>
                    </a:lnTo>
                    <a:lnTo>
                      <a:pt x="178" y="858"/>
                    </a:lnTo>
                    <a:lnTo>
                      <a:pt x="187" y="858"/>
                    </a:lnTo>
                    <a:lnTo>
                      <a:pt x="187" y="858"/>
                    </a:lnTo>
                    <a:lnTo>
                      <a:pt x="187" y="858"/>
                    </a:lnTo>
                    <a:lnTo>
                      <a:pt x="196" y="858"/>
                    </a:lnTo>
                    <a:lnTo>
                      <a:pt x="196" y="867"/>
                    </a:lnTo>
                    <a:lnTo>
                      <a:pt x="196" y="867"/>
                    </a:lnTo>
                    <a:lnTo>
                      <a:pt x="196" y="867"/>
                    </a:lnTo>
                    <a:lnTo>
                      <a:pt x="196" y="867"/>
                    </a:lnTo>
                    <a:lnTo>
                      <a:pt x="205" y="867"/>
                    </a:lnTo>
                    <a:lnTo>
                      <a:pt x="205" y="867"/>
                    </a:lnTo>
                    <a:lnTo>
                      <a:pt x="205" y="867"/>
                    </a:lnTo>
                    <a:lnTo>
                      <a:pt x="205" y="867"/>
                    </a:lnTo>
                    <a:lnTo>
                      <a:pt x="214" y="867"/>
                    </a:lnTo>
                    <a:lnTo>
                      <a:pt x="214" y="867"/>
                    </a:lnTo>
                    <a:lnTo>
                      <a:pt x="223" y="867"/>
                    </a:lnTo>
                    <a:lnTo>
                      <a:pt x="223" y="867"/>
                    </a:lnTo>
                    <a:lnTo>
                      <a:pt x="223" y="867"/>
                    </a:lnTo>
                    <a:lnTo>
                      <a:pt x="232" y="867"/>
                    </a:lnTo>
                    <a:lnTo>
                      <a:pt x="232" y="867"/>
                    </a:lnTo>
                    <a:lnTo>
                      <a:pt x="232" y="867"/>
                    </a:lnTo>
                    <a:lnTo>
                      <a:pt x="232" y="867"/>
                    </a:lnTo>
                    <a:lnTo>
                      <a:pt x="232" y="867"/>
                    </a:lnTo>
                    <a:lnTo>
                      <a:pt x="241" y="867"/>
                    </a:lnTo>
                    <a:lnTo>
                      <a:pt x="241" y="858"/>
                    </a:lnTo>
                    <a:lnTo>
                      <a:pt x="241" y="858"/>
                    </a:lnTo>
                    <a:lnTo>
                      <a:pt x="241" y="858"/>
                    </a:lnTo>
                    <a:lnTo>
                      <a:pt x="241" y="858"/>
                    </a:lnTo>
                    <a:lnTo>
                      <a:pt x="241" y="849"/>
                    </a:lnTo>
                    <a:lnTo>
                      <a:pt x="241" y="849"/>
                    </a:lnTo>
                    <a:lnTo>
                      <a:pt x="241" y="849"/>
                    </a:lnTo>
                    <a:lnTo>
                      <a:pt x="241" y="840"/>
                    </a:lnTo>
                    <a:lnTo>
                      <a:pt x="241" y="840"/>
                    </a:lnTo>
                    <a:lnTo>
                      <a:pt x="241" y="840"/>
                    </a:lnTo>
                    <a:lnTo>
                      <a:pt x="241" y="831"/>
                    </a:lnTo>
                    <a:lnTo>
                      <a:pt x="241" y="831"/>
                    </a:lnTo>
                    <a:lnTo>
                      <a:pt x="241" y="831"/>
                    </a:lnTo>
                    <a:lnTo>
                      <a:pt x="241" y="822"/>
                    </a:lnTo>
                    <a:lnTo>
                      <a:pt x="241" y="822"/>
                    </a:lnTo>
                    <a:lnTo>
                      <a:pt x="241" y="822"/>
                    </a:lnTo>
                    <a:lnTo>
                      <a:pt x="250" y="813"/>
                    </a:lnTo>
                    <a:lnTo>
                      <a:pt x="250" y="813"/>
                    </a:lnTo>
                    <a:lnTo>
                      <a:pt x="250" y="804"/>
                    </a:lnTo>
                    <a:lnTo>
                      <a:pt x="250" y="804"/>
                    </a:lnTo>
                    <a:lnTo>
                      <a:pt x="250" y="804"/>
                    </a:lnTo>
                    <a:lnTo>
                      <a:pt x="250" y="804"/>
                    </a:lnTo>
                    <a:lnTo>
                      <a:pt x="250" y="804"/>
                    </a:lnTo>
                    <a:lnTo>
                      <a:pt x="259" y="804"/>
                    </a:lnTo>
                    <a:lnTo>
                      <a:pt x="259" y="804"/>
                    </a:lnTo>
                    <a:lnTo>
                      <a:pt x="259" y="804"/>
                    </a:lnTo>
                    <a:lnTo>
                      <a:pt x="259" y="804"/>
                    </a:lnTo>
                    <a:lnTo>
                      <a:pt x="259" y="804"/>
                    </a:lnTo>
                    <a:lnTo>
                      <a:pt x="259" y="804"/>
                    </a:lnTo>
                    <a:lnTo>
                      <a:pt x="259" y="795"/>
                    </a:lnTo>
                    <a:lnTo>
                      <a:pt x="259" y="795"/>
                    </a:lnTo>
                    <a:lnTo>
                      <a:pt x="268" y="795"/>
                    </a:lnTo>
                    <a:lnTo>
                      <a:pt x="268" y="795"/>
                    </a:lnTo>
                    <a:lnTo>
                      <a:pt x="268" y="795"/>
                    </a:lnTo>
                    <a:lnTo>
                      <a:pt x="268" y="795"/>
                    </a:lnTo>
                    <a:lnTo>
                      <a:pt x="268" y="795"/>
                    </a:lnTo>
                    <a:lnTo>
                      <a:pt x="268" y="786"/>
                    </a:lnTo>
                    <a:lnTo>
                      <a:pt x="268" y="786"/>
                    </a:lnTo>
                    <a:lnTo>
                      <a:pt x="268" y="786"/>
                    </a:lnTo>
                    <a:lnTo>
                      <a:pt x="277" y="786"/>
                    </a:lnTo>
                    <a:lnTo>
                      <a:pt x="277" y="786"/>
                    </a:lnTo>
                    <a:lnTo>
                      <a:pt x="277" y="786"/>
                    </a:lnTo>
                    <a:lnTo>
                      <a:pt x="277" y="786"/>
                    </a:lnTo>
                    <a:lnTo>
                      <a:pt x="286" y="786"/>
                    </a:lnTo>
                    <a:lnTo>
                      <a:pt x="286" y="786"/>
                    </a:lnTo>
                    <a:lnTo>
                      <a:pt x="286" y="786"/>
                    </a:lnTo>
                    <a:lnTo>
                      <a:pt x="286" y="786"/>
                    </a:lnTo>
                    <a:lnTo>
                      <a:pt x="286" y="786"/>
                    </a:lnTo>
                    <a:lnTo>
                      <a:pt x="286" y="786"/>
                    </a:lnTo>
                    <a:lnTo>
                      <a:pt x="286" y="777"/>
                    </a:lnTo>
                    <a:lnTo>
                      <a:pt x="286" y="777"/>
                    </a:lnTo>
                    <a:lnTo>
                      <a:pt x="294" y="777"/>
                    </a:lnTo>
                    <a:lnTo>
                      <a:pt x="294" y="777"/>
                    </a:lnTo>
                    <a:lnTo>
                      <a:pt x="294" y="768"/>
                    </a:lnTo>
                    <a:lnTo>
                      <a:pt x="294" y="768"/>
                    </a:lnTo>
                    <a:lnTo>
                      <a:pt x="294" y="768"/>
                    </a:lnTo>
                    <a:lnTo>
                      <a:pt x="286" y="759"/>
                    </a:lnTo>
                    <a:lnTo>
                      <a:pt x="286" y="759"/>
                    </a:lnTo>
                    <a:lnTo>
                      <a:pt x="286" y="751"/>
                    </a:lnTo>
                    <a:lnTo>
                      <a:pt x="286" y="751"/>
                    </a:lnTo>
                    <a:lnTo>
                      <a:pt x="286" y="742"/>
                    </a:lnTo>
                    <a:lnTo>
                      <a:pt x="286" y="742"/>
                    </a:lnTo>
                    <a:lnTo>
                      <a:pt x="286" y="742"/>
                    </a:lnTo>
                    <a:lnTo>
                      <a:pt x="286" y="733"/>
                    </a:lnTo>
                    <a:lnTo>
                      <a:pt x="286" y="733"/>
                    </a:lnTo>
                    <a:lnTo>
                      <a:pt x="286" y="724"/>
                    </a:lnTo>
                    <a:lnTo>
                      <a:pt x="286" y="724"/>
                    </a:lnTo>
                    <a:lnTo>
                      <a:pt x="286" y="724"/>
                    </a:lnTo>
                    <a:lnTo>
                      <a:pt x="286" y="715"/>
                    </a:lnTo>
                    <a:lnTo>
                      <a:pt x="286" y="715"/>
                    </a:lnTo>
                    <a:lnTo>
                      <a:pt x="286" y="715"/>
                    </a:lnTo>
                    <a:lnTo>
                      <a:pt x="286" y="715"/>
                    </a:lnTo>
                    <a:lnTo>
                      <a:pt x="286" y="706"/>
                    </a:lnTo>
                    <a:lnTo>
                      <a:pt x="286" y="706"/>
                    </a:lnTo>
                    <a:lnTo>
                      <a:pt x="286" y="706"/>
                    </a:lnTo>
                    <a:lnTo>
                      <a:pt x="286" y="706"/>
                    </a:lnTo>
                    <a:lnTo>
                      <a:pt x="294" y="697"/>
                    </a:lnTo>
                    <a:lnTo>
                      <a:pt x="294" y="697"/>
                    </a:lnTo>
                    <a:lnTo>
                      <a:pt x="294" y="697"/>
                    </a:lnTo>
                    <a:lnTo>
                      <a:pt x="294" y="697"/>
                    </a:lnTo>
                    <a:lnTo>
                      <a:pt x="303" y="697"/>
                    </a:lnTo>
                    <a:lnTo>
                      <a:pt x="303" y="697"/>
                    </a:lnTo>
                    <a:lnTo>
                      <a:pt x="303" y="697"/>
                    </a:lnTo>
                    <a:lnTo>
                      <a:pt x="312" y="697"/>
                    </a:lnTo>
                    <a:lnTo>
                      <a:pt x="312" y="697"/>
                    </a:lnTo>
                    <a:lnTo>
                      <a:pt x="312" y="706"/>
                    </a:lnTo>
                    <a:lnTo>
                      <a:pt x="312" y="706"/>
                    </a:lnTo>
                    <a:lnTo>
                      <a:pt x="321" y="706"/>
                    </a:lnTo>
                    <a:lnTo>
                      <a:pt x="321" y="706"/>
                    </a:lnTo>
                    <a:lnTo>
                      <a:pt x="321" y="706"/>
                    </a:lnTo>
                    <a:lnTo>
                      <a:pt x="321" y="706"/>
                    </a:lnTo>
                    <a:lnTo>
                      <a:pt x="330" y="697"/>
                    </a:lnTo>
                    <a:lnTo>
                      <a:pt x="330" y="697"/>
                    </a:lnTo>
                    <a:lnTo>
                      <a:pt x="330" y="697"/>
                    </a:lnTo>
                    <a:lnTo>
                      <a:pt x="330" y="688"/>
                    </a:lnTo>
                    <a:lnTo>
                      <a:pt x="330" y="688"/>
                    </a:lnTo>
                    <a:lnTo>
                      <a:pt x="330" y="679"/>
                    </a:lnTo>
                    <a:lnTo>
                      <a:pt x="330" y="679"/>
                    </a:lnTo>
                    <a:lnTo>
                      <a:pt x="330" y="670"/>
                    </a:lnTo>
                    <a:lnTo>
                      <a:pt x="330" y="670"/>
                    </a:lnTo>
                    <a:lnTo>
                      <a:pt x="330" y="670"/>
                    </a:lnTo>
                    <a:lnTo>
                      <a:pt x="330" y="661"/>
                    </a:lnTo>
                    <a:lnTo>
                      <a:pt x="330" y="661"/>
                    </a:lnTo>
                    <a:lnTo>
                      <a:pt x="330" y="652"/>
                    </a:lnTo>
                    <a:lnTo>
                      <a:pt x="330" y="652"/>
                    </a:lnTo>
                    <a:lnTo>
                      <a:pt x="330" y="652"/>
                    </a:lnTo>
                    <a:lnTo>
                      <a:pt x="330" y="643"/>
                    </a:lnTo>
                    <a:lnTo>
                      <a:pt x="330" y="643"/>
                    </a:lnTo>
                    <a:lnTo>
                      <a:pt x="330" y="634"/>
                    </a:lnTo>
                    <a:lnTo>
                      <a:pt x="330" y="634"/>
                    </a:lnTo>
                    <a:lnTo>
                      <a:pt x="330" y="634"/>
                    </a:lnTo>
                    <a:lnTo>
                      <a:pt x="330" y="634"/>
                    </a:lnTo>
                    <a:lnTo>
                      <a:pt x="321" y="634"/>
                    </a:lnTo>
                    <a:lnTo>
                      <a:pt x="321" y="626"/>
                    </a:lnTo>
                    <a:lnTo>
                      <a:pt x="321" y="626"/>
                    </a:lnTo>
                    <a:lnTo>
                      <a:pt x="321" y="626"/>
                    </a:lnTo>
                    <a:lnTo>
                      <a:pt x="321" y="617"/>
                    </a:lnTo>
                    <a:lnTo>
                      <a:pt x="321" y="617"/>
                    </a:lnTo>
                    <a:lnTo>
                      <a:pt x="321" y="608"/>
                    </a:lnTo>
                    <a:lnTo>
                      <a:pt x="321" y="608"/>
                    </a:lnTo>
                    <a:lnTo>
                      <a:pt x="321" y="599"/>
                    </a:lnTo>
                    <a:lnTo>
                      <a:pt x="321" y="599"/>
                    </a:lnTo>
                    <a:lnTo>
                      <a:pt x="321" y="590"/>
                    </a:lnTo>
                    <a:lnTo>
                      <a:pt x="321" y="590"/>
                    </a:lnTo>
                    <a:lnTo>
                      <a:pt x="321" y="590"/>
                    </a:lnTo>
                    <a:lnTo>
                      <a:pt x="321" y="581"/>
                    </a:lnTo>
                    <a:lnTo>
                      <a:pt x="321" y="581"/>
                    </a:lnTo>
                    <a:lnTo>
                      <a:pt x="321" y="581"/>
                    </a:lnTo>
                    <a:lnTo>
                      <a:pt x="321" y="581"/>
                    </a:lnTo>
                    <a:lnTo>
                      <a:pt x="321" y="572"/>
                    </a:lnTo>
                    <a:lnTo>
                      <a:pt x="321" y="572"/>
                    </a:lnTo>
                    <a:lnTo>
                      <a:pt x="321" y="572"/>
                    </a:lnTo>
                    <a:lnTo>
                      <a:pt x="330" y="572"/>
                    </a:lnTo>
                    <a:lnTo>
                      <a:pt x="330" y="572"/>
                    </a:lnTo>
                    <a:lnTo>
                      <a:pt x="330" y="572"/>
                    </a:lnTo>
                    <a:lnTo>
                      <a:pt x="330" y="563"/>
                    </a:lnTo>
                    <a:lnTo>
                      <a:pt x="330" y="563"/>
                    </a:lnTo>
                    <a:lnTo>
                      <a:pt x="330" y="563"/>
                    </a:lnTo>
                    <a:lnTo>
                      <a:pt x="330" y="563"/>
                    </a:lnTo>
                    <a:lnTo>
                      <a:pt x="330" y="563"/>
                    </a:lnTo>
                    <a:lnTo>
                      <a:pt x="330" y="563"/>
                    </a:lnTo>
                    <a:lnTo>
                      <a:pt x="339" y="554"/>
                    </a:lnTo>
                    <a:lnTo>
                      <a:pt x="339" y="554"/>
                    </a:lnTo>
                    <a:lnTo>
                      <a:pt x="339" y="554"/>
                    </a:lnTo>
                    <a:lnTo>
                      <a:pt x="339" y="545"/>
                    </a:lnTo>
                    <a:lnTo>
                      <a:pt x="339" y="545"/>
                    </a:lnTo>
                    <a:lnTo>
                      <a:pt x="339" y="545"/>
                    </a:lnTo>
                    <a:lnTo>
                      <a:pt x="339" y="545"/>
                    </a:lnTo>
                    <a:lnTo>
                      <a:pt x="339" y="536"/>
                    </a:lnTo>
                    <a:lnTo>
                      <a:pt x="339" y="536"/>
                    </a:lnTo>
                    <a:lnTo>
                      <a:pt x="339" y="536"/>
                    </a:lnTo>
                    <a:lnTo>
                      <a:pt x="339" y="536"/>
                    </a:lnTo>
                    <a:lnTo>
                      <a:pt x="348" y="536"/>
                    </a:lnTo>
                    <a:lnTo>
                      <a:pt x="348" y="536"/>
                    </a:lnTo>
                    <a:lnTo>
                      <a:pt x="348" y="536"/>
                    </a:lnTo>
                    <a:lnTo>
                      <a:pt x="348" y="536"/>
                    </a:lnTo>
                    <a:lnTo>
                      <a:pt x="357" y="536"/>
                    </a:lnTo>
                    <a:lnTo>
                      <a:pt x="357" y="536"/>
                    </a:lnTo>
                    <a:lnTo>
                      <a:pt x="357" y="536"/>
                    </a:lnTo>
                    <a:lnTo>
                      <a:pt x="366" y="536"/>
                    </a:lnTo>
                    <a:lnTo>
                      <a:pt x="366" y="536"/>
                    </a:lnTo>
                    <a:lnTo>
                      <a:pt x="366" y="536"/>
                    </a:lnTo>
                    <a:lnTo>
                      <a:pt x="366" y="536"/>
                    </a:lnTo>
                    <a:lnTo>
                      <a:pt x="375" y="536"/>
                    </a:lnTo>
                    <a:lnTo>
                      <a:pt x="375" y="536"/>
                    </a:lnTo>
                    <a:lnTo>
                      <a:pt x="375" y="536"/>
                    </a:lnTo>
                    <a:lnTo>
                      <a:pt x="375" y="536"/>
                    </a:lnTo>
                    <a:lnTo>
                      <a:pt x="375" y="527"/>
                    </a:lnTo>
                    <a:lnTo>
                      <a:pt x="375" y="527"/>
                    </a:lnTo>
                    <a:lnTo>
                      <a:pt x="375" y="527"/>
                    </a:lnTo>
                    <a:lnTo>
                      <a:pt x="384" y="527"/>
                    </a:lnTo>
                    <a:lnTo>
                      <a:pt x="384" y="527"/>
                    </a:lnTo>
                    <a:lnTo>
                      <a:pt x="384" y="527"/>
                    </a:lnTo>
                    <a:lnTo>
                      <a:pt x="384" y="527"/>
                    </a:lnTo>
                    <a:lnTo>
                      <a:pt x="393" y="527"/>
                    </a:lnTo>
                    <a:lnTo>
                      <a:pt x="393" y="527"/>
                    </a:lnTo>
                    <a:lnTo>
                      <a:pt x="393" y="527"/>
                    </a:lnTo>
                    <a:lnTo>
                      <a:pt x="402" y="527"/>
                    </a:lnTo>
                    <a:lnTo>
                      <a:pt x="402" y="527"/>
                    </a:lnTo>
                    <a:lnTo>
                      <a:pt x="402" y="527"/>
                    </a:lnTo>
                    <a:lnTo>
                      <a:pt x="402" y="527"/>
                    </a:lnTo>
                    <a:lnTo>
                      <a:pt x="411" y="527"/>
                    </a:lnTo>
                    <a:lnTo>
                      <a:pt x="411" y="527"/>
                    </a:lnTo>
                    <a:lnTo>
                      <a:pt x="411" y="527"/>
                    </a:lnTo>
                    <a:lnTo>
                      <a:pt x="411" y="527"/>
                    </a:lnTo>
                    <a:lnTo>
                      <a:pt x="411" y="527"/>
                    </a:lnTo>
                    <a:lnTo>
                      <a:pt x="411" y="527"/>
                    </a:lnTo>
                    <a:lnTo>
                      <a:pt x="411" y="536"/>
                    </a:lnTo>
                    <a:lnTo>
                      <a:pt x="419" y="536"/>
                    </a:lnTo>
                    <a:lnTo>
                      <a:pt x="419" y="536"/>
                    </a:lnTo>
                    <a:lnTo>
                      <a:pt x="419" y="536"/>
                    </a:lnTo>
                    <a:lnTo>
                      <a:pt x="419" y="536"/>
                    </a:lnTo>
                    <a:lnTo>
                      <a:pt x="419" y="545"/>
                    </a:lnTo>
                    <a:lnTo>
                      <a:pt x="419" y="545"/>
                    </a:lnTo>
                    <a:lnTo>
                      <a:pt x="419" y="545"/>
                    </a:lnTo>
                    <a:lnTo>
                      <a:pt x="419" y="545"/>
                    </a:lnTo>
                    <a:lnTo>
                      <a:pt x="419" y="545"/>
                    </a:lnTo>
                    <a:lnTo>
                      <a:pt x="428" y="554"/>
                    </a:lnTo>
                    <a:lnTo>
                      <a:pt x="428" y="554"/>
                    </a:lnTo>
                    <a:lnTo>
                      <a:pt x="428" y="554"/>
                    </a:lnTo>
                    <a:lnTo>
                      <a:pt x="428" y="554"/>
                    </a:lnTo>
                    <a:lnTo>
                      <a:pt x="428" y="554"/>
                    </a:lnTo>
                    <a:lnTo>
                      <a:pt x="428" y="554"/>
                    </a:lnTo>
                    <a:lnTo>
                      <a:pt x="428" y="554"/>
                    </a:lnTo>
                    <a:lnTo>
                      <a:pt x="428" y="554"/>
                    </a:lnTo>
                    <a:lnTo>
                      <a:pt x="437" y="554"/>
                    </a:lnTo>
                    <a:lnTo>
                      <a:pt x="437" y="554"/>
                    </a:lnTo>
                    <a:lnTo>
                      <a:pt x="437" y="554"/>
                    </a:lnTo>
                    <a:lnTo>
                      <a:pt x="437" y="554"/>
                    </a:lnTo>
                    <a:lnTo>
                      <a:pt x="437" y="554"/>
                    </a:lnTo>
                    <a:lnTo>
                      <a:pt x="446" y="554"/>
                    </a:lnTo>
                    <a:lnTo>
                      <a:pt x="446" y="554"/>
                    </a:lnTo>
                    <a:lnTo>
                      <a:pt x="446" y="554"/>
                    </a:lnTo>
                    <a:lnTo>
                      <a:pt x="446" y="554"/>
                    </a:lnTo>
                    <a:lnTo>
                      <a:pt x="446" y="554"/>
                    </a:lnTo>
                    <a:lnTo>
                      <a:pt x="455" y="554"/>
                    </a:lnTo>
                    <a:lnTo>
                      <a:pt x="455" y="545"/>
                    </a:lnTo>
                    <a:lnTo>
                      <a:pt x="455" y="545"/>
                    </a:lnTo>
                    <a:lnTo>
                      <a:pt x="455" y="545"/>
                    </a:lnTo>
                    <a:lnTo>
                      <a:pt x="464" y="545"/>
                    </a:lnTo>
                    <a:lnTo>
                      <a:pt x="464" y="545"/>
                    </a:lnTo>
                    <a:lnTo>
                      <a:pt x="464" y="545"/>
                    </a:lnTo>
                    <a:lnTo>
                      <a:pt x="464" y="545"/>
                    </a:lnTo>
                    <a:lnTo>
                      <a:pt x="473" y="545"/>
                    </a:lnTo>
                    <a:lnTo>
                      <a:pt x="473" y="536"/>
                    </a:lnTo>
                    <a:lnTo>
                      <a:pt x="473" y="536"/>
                    </a:lnTo>
                    <a:lnTo>
                      <a:pt x="473" y="536"/>
                    </a:lnTo>
                    <a:lnTo>
                      <a:pt x="482" y="536"/>
                    </a:lnTo>
                    <a:lnTo>
                      <a:pt x="482" y="536"/>
                    </a:lnTo>
                    <a:lnTo>
                      <a:pt x="482" y="536"/>
                    </a:lnTo>
                    <a:lnTo>
                      <a:pt x="482" y="536"/>
                    </a:lnTo>
                    <a:lnTo>
                      <a:pt x="491" y="536"/>
                    </a:lnTo>
                    <a:lnTo>
                      <a:pt x="491" y="536"/>
                    </a:lnTo>
                    <a:lnTo>
                      <a:pt x="491" y="536"/>
                    </a:lnTo>
                    <a:lnTo>
                      <a:pt x="500" y="536"/>
                    </a:lnTo>
                    <a:lnTo>
                      <a:pt x="500" y="536"/>
                    </a:lnTo>
                    <a:lnTo>
                      <a:pt x="500" y="536"/>
                    </a:lnTo>
                    <a:lnTo>
                      <a:pt x="500" y="536"/>
                    </a:lnTo>
                    <a:lnTo>
                      <a:pt x="509" y="536"/>
                    </a:lnTo>
                    <a:lnTo>
                      <a:pt x="509" y="536"/>
                    </a:lnTo>
                    <a:lnTo>
                      <a:pt x="509" y="536"/>
                    </a:lnTo>
                    <a:lnTo>
                      <a:pt x="509" y="536"/>
                    </a:lnTo>
                    <a:lnTo>
                      <a:pt x="509" y="536"/>
                    </a:lnTo>
                    <a:lnTo>
                      <a:pt x="518" y="536"/>
                    </a:lnTo>
                    <a:lnTo>
                      <a:pt x="518" y="527"/>
                    </a:lnTo>
                    <a:lnTo>
                      <a:pt x="518" y="527"/>
                    </a:lnTo>
                    <a:lnTo>
                      <a:pt x="518" y="527"/>
                    </a:lnTo>
                    <a:lnTo>
                      <a:pt x="527" y="527"/>
                    </a:lnTo>
                    <a:lnTo>
                      <a:pt x="527" y="527"/>
                    </a:lnTo>
                    <a:lnTo>
                      <a:pt x="527" y="518"/>
                    </a:lnTo>
                    <a:lnTo>
                      <a:pt x="527" y="518"/>
                    </a:lnTo>
                    <a:lnTo>
                      <a:pt x="536" y="518"/>
                    </a:lnTo>
                    <a:lnTo>
                      <a:pt x="536" y="518"/>
                    </a:lnTo>
                    <a:lnTo>
                      <a:pt x="536" y="518"/>
                    </a:lnTo>
                    <a:lnTo>
                      <a:pt x="536" y="518"/>
                    </a:lnTo>
                    <a:lnTo>
                      <a:pt x="536" y="509"/>
                    </a:lnTo>
                    <a:lnTo>
                      <a:pt x="536" y="509"/>
                    </a:lnTo>
                    <a:lnTo>
                      <a:pt x="536" y="509"/>
                    </a:lnTo>
                    <a:lnTo>
                      <a:pt x="536" y="509"/>
                    </a:lnTo>
                    <a:lnTo>
                      <a:pt x="536" y="509"/>
                    </a:lnTo>
                    <a:lnTo>
                      <a:pt x="536" y="509"/>
                    </a:lnTo>
                    <a:lnTo>
                      <a:pt x="536" y="509"/>
                    </a:lnTo>
                    <a:lnTo>
                      <a:pt x="545" y="509"/>
                    </a:lnTo>
                    <a:lnTo>
                      <a:pt x="545" y="509"/>
                    </a:lnTo>
                    <a:lnTo>
                      <a:pt x="545" y="509"/>
                    </a:lnTo>
                    <a:lnTo>
                      <a:pt x="545" y="500"/>
                    </a:lnTo>
                    <a:lnTo>
                      <a:pt x="545" y="500"/>
                    </a:lnTo>
                    <a:lnTo>
                      <a:pt x="545" y="500"/>
                    </a:lnTo>
                    <a:lnTo>
                      <a:pt x="545" y="500"/>
                    </a:lnTo>
                    <a:lnTo>
                      <a:pt x="545" y="500"/>
                    </a:lnTo>
                    <a:lnTo>
                      <a:pt x="545" y="500"/>
                    </a:lnTo>
                    <a:lnTo>
                      <a:pt x="545" y="500"/>
                    </a:lnTo>
                    <a:lnTo>
                      <a:pt x="536" y="500"/>
                    </a:lnTo>
                    <a:lnTo>
                      <a:pt x="536" y="500"/>
                    </a:lnTo>
                    <a:lnTo>
                      <a:pt x="536" y="500"/>
                    </a:lnTo>
                    <a:lnTo>
                      <a:pt x="536" y="500"/>
                    </a:lnTo>
                    <a:lnTo>
                      <a:pt x="536" y="500"/>
                    </a:lnTo>
                    <a:lnTo>
                      <a:pt x="527" y="500"/>
                    </a:lnTo>
                    <a:lnTo>
                      <a:pt x="527" y="500"/>
                    </a:lnTo>
                    <a:lnTo>
                      <a:pt x="527" y="500"/>
                    </a:lnTo>
                    <a:lnTo>
                      <a:pt x="518" y="500"/>
                    </a:lnTo>
                    <a:lnTo>
                      <a:pt x="518" y="500"/>
                    </a:lnTo>
                    <a:lnTo>
                      <a:pt x="518" y="500"/>
                    </a:lnTo>
                    <a:lnTo>
                      <a:pt x="518" y="500"/>
                    </a:lnTo>
                    <a:lnTo>
                      <a:pt x="509" y="500"/>
                    </a:lnTo>
                    <a:lnTo>
                      <a:pt x="509" y="492"/>
                    </a:lnTo>
                    <a:lnTo>
                      <a:pt x="509" y="492"/>
                    </a:lnTo>
                    <a:lnTo>
                      <a:pt x="509" y="492"/>
                    </a:lnTo>
                    <a:lnTo>
                      <a:pt x="509" y="492"/>
                    </a:lnTo>
                    <a:lnTo>
                      <a:pt x="509" y="492"/>
                    </a:lnTo>
                    <a:lnTo>
                      <a:pt x="509" y="483"/>
                    </a:lnTo>
                    <a:lnTo>
                      <a:pt x="509" y="483"/>
                    </a:lnTo>
                    <a:lnTo>
                      <a:pt x="509" y="483"/>
                    </a:lnTo>
                    <a:lnTo>
                      <a:pt x="509" y="483"/>
                    </a:lnTo>
                    <a:lnTo>
                      <a:pt x="509" y="483"/>
                    </a:lnTo>
                    <a:lnTo>
                      <a:pt x="509" y="474"/>
                    </a:lnTo>
                    <a:lnTo>
                      <a:pt x="509" y="474"/>
                    </a:lnTo>
                    <a:lnTo>
                      <a:pt x="509" y="474"/>
                    </a:lnTo>
                    <a:lnTo>
                      <a:pt x="509" y="474"/>
                    </a:lnTo>
                    <a:lnTo>
                      <a:pt x="509" y="474"/>
                    </a:lnTo>
                    <a:lnTo>
                      <a:pt x="509" y="474"/>
                    </a:lnTo>
                    <a:lnTo>
                      <a:pt x="518" y="474"/>
                    </a:lnTo>
                    <a:lnTo>
                      <a:pt x="518" y="474"/>
                    </a:lnTo>
                    <a:lnTo>
                      <a:pt x="518" y="474"/>
                    </a:lnTo>
                    <a:lnTo>
                      <a:pt x="518" y="474"/>
                    </a:lnTo>
                    <a:lnTo>
                      <a:pt x="527" y="474"/>
                    </a:lnTo>
                    <a:lnTo>
                      <a:pt x="527" y="474"/>
                    </a:lnTo>
                    <a:lnTo>
                      <a:pt x="527" y="474"/>
                    </a:lnTo>
                    <a:lnTo>
                      <a:pt x="527" y="474"/>
                    </a:lnTo>
                    <a:lnTo>
                      <a:pt x="536" y="474"/>
                    </a:lnTo>
                    <a:lnTo>
                      <a:pt x="536" y="474"/>
                    </a:lnTo>
                    <a:lnTo>
                      <a:pt x="536" y="474"/>
                    </a:lnTo>
                    <a:lnTo>
                      <a:pt x="536" y="474"/>
                    </a:lnTo>
                    <a:lnTo>
                      <a:pt x="545" y="474"/>
                    </a:lnTo>
                    <a:lnTo>
                      <a:pt x="545" y="474"/>
                    </a:lnTo>
                    <a:lnTo>
                      <a:pt x="545" y="474"/>
                    </a:lnTo>
                    <a:lnTo>
                      <a:pt x="545" y="474"/>
                    </a:lnTo>
                    <a:lnTo>
                      <a:pt x="553" y="474"/>
                    </a:lnTo>
                    <a:lnTo>
                      <a:pt x="553" y="474"/>
                    </a:lnTo>
                    <a:lnTo>
                      <a:pt x="553" y="474"/>
                    </a:lnTo>
                    <a:lnTo>
                      <a:pt x="553" y="465"/>
                    </a:lnTo>
                    <a:lnTo>
                      <a:pt x="553" y="465"/>
                    </a:lnTo>
                    <a:lnTo>
                      <a:pt x="553" y="465"/>
                    </a:lnTo>
                    <a:lnTo>
                      <a:pt x="553" y="465"/>
                    </a:lnTo>
                    <a:lnTo>
                      <a:pt x="553" y="465"/>
                    </a:lnTo>
                    <a:lnTo>
                      <a:pt x="553" y="456"/>
                    </a:lnTo>
                    <a:lnTo>
                      <a:pt x="553" y="456"/>
                    </a:lnTo>
                    <a:lnTo>
                      <a:pt x="553" y="456"/>
                    </a:lnTo>
                    <a:lnTo>
                      <a:pt x="553" y="456"/>
                    </a:lnTo>
                    <a:lnTo>
                      <a:pt x="553" y="447"/>
                    </a:lnTo>
                    <a:lnTo>
                      <a:pt x="553" y="447"/>
                    </a:lnTo>
                    <a:lnTo>
                      <a:pt x="553" y="447"/>
                    </a:lnTo>
                    <a:lnTo>
                      <a:pt x="553" y="447"/>
                    </a:lnTo>
                    <a:lnTo>
                      <a:pt x="553" y="438"/>
                    </a:lnTo>
                    <a:lnTo>
                      <a:pt x="553" y="438"/>
                    </a:lnTo>
                    <a:lnTo>
                      <a:pt x="553" y="438"/>
                    </a:lnTo>
                    <a:lnTo>
                      <a:pt x="553" y="429"/>
                    </a:lnTo>
                    <a:lnTo>
                      <a:pt x="553" y="429"/>
                    </a:lnTo>
                    <a:lnTo>
                      <a:pt x="553" y="429"/>
                    </a:lnTo>
                    <a:lnTo>
                      <a:pt x="553" y="429"/>
                    </a:lnTo>
                    <a:lnTo>
                      <a:pt x="553" y="429"/>
                    </a:lnTo>
                    <a:lnTo>
                      <a:pt x="553" y="429"/>
                    </a:lnTo>
                    <a:lnTo>
                      <a:pt x="562" y="429"/>
                    </a:lnTo>
                    <a:lnTo>
                      <a:pt x="562" y="429"/>
                    </a:lnTo>
                    <a:lnTo>
                      <a:pt x="562" y="429"/>
                    </a:lnTo>
                    <a:lnTo>
                      <a:pt x="562" y="429"/>
                    </a:lnTo>
                    <a:lnTo>
                      <a:pt x="562" y="429"/>
                    </a:lnTo>
                    <a:lnTo>
                      <a:pt x="571" y="429"/>
                    </a:lnTo>
                    <a:lnTo>
                      <a:pt x="571" y="429"/>
                    </a:lnTo>
                    <a:lnTo>
                      <a:pt x="571" y="429"/>
                    </a:lnTo>
                    <a:lnTo>
                      <a:pt x="571" y="429"/>
                    </a:lnTo>
                    <a:lnTo>
                      <a:pt x="571" y="429"/>
                    </a:lnTo>
                    <a:lnTo>
                      <a:pt x="580" y="429"/>
                    </a:lnTo>
                    <a:lnTo>
                      <a:pt x="580" y="429"/>
                    </a:lnTo>
                    <a:lnTo>
                      <a:pt x="580" y="429"/>
                    </a:lnTo>
                    <a:lnTo>
                      <a:pt x="580" y="429"/>
                    </a:lnTo>
                    <a:lnTo>
                      <a:pt x="580" y="429"/>
                    </a:lnTo>
                    <a:lnTo>
                      <a:pt x="580" y="429"/>
                    </a:lnTo>
                    <a:lnTo>
                      <a:pt x="580" y="429"/>
                    </a:lnTo>
                    <a:lnTo>
                      <a:pt x="580" y="420"/>
                    </a:lnTo>
                    <a:lnTo>
                      <a:pt x="580" y="420"/>
                    </a:lnTo>
                    <a:lnTo>
                      <a:pt x="580" y="420"/>
                    </a:lnTo>
                    <a:lnTo>
                      <a:pt x="580" y="420"/>
                    </a:lnTo>
                    <a:lnTo>
                      <a:pt x="580" y="420"/>
                    </a:lnTo>
                    <a:lnTo>
                      <a:pt x="580" y="420"/>
                    </a:lnTo>
                    <a:lnTo>
                      <a:pt x="580" y="420"/>
                    </a:lnTo>
                    <a:lnTo>
                      <a:pt x="580" y="420"/>
                    </a:lnTo>
                    <a:lnTo>
                      <a:pt x="580" y="420"/>
                    </a:lnTo>
                    <a:lnTo>
                      <a:pt x="571" y="420"/>
                    </a:lnTo>
                    <a:lnTo>
                      <a:pt x="571" y="411"/>
                    </a:lnTo>
                    <a:lnTo>
                      <a:pt x="571" y="411"/>
                    </a:lnTo>
                    <a:lnTo>
                      <a:pt x="571" y="411"/>
                    </a:lnTo>
                    <a:lnTo>
                      <a:pt x="571" y="411"/>
                    </a:lnTo>
                    <a:lnTo>
                      <a:pt x="562" y="411"/>
                    </a:lnTo>
                    <a:lnTo>
                      <a:pt x="562" y="411"/>
                    </a:lnTo>
                    <a:lnTo>
                      <a:pt x="562" y="411"/>
                    </a:lnTo>
                    <a:lnTo>
                      <a:pt x="553" y="411"/>
                    </a:lnTo>
                    <a:lnTo>
                      <a:pt x="553" y="411"/>
                    </a:lnTo>
                    <a:lnTo>
                      <a:pt x="553" y="411"/>
                    </a:lnTo>
                    <a:lnTo>
                      <a:pt x="545" y="411"/>
                    </a:lnTo>
                    <a:lnTo>
                      <a:pt x="545" y="411"/>
                    </a:lnTo>
                    <a:lnTo>
                      <a:pt x="545" y="402"/>
                    </a:lnTo>
                    <a:lnTo>
                      <a:pt x="545" y="402"/>
                    </a:lnTo>
                    <a:lnTo>
                      <a:pt x="545" y="402"/>
                    </a:lnTo>
                    <a:lnTo>
                      <a:pt x="545" y="402"/>
                    </a:lnTo>
                    <a:lnTo>
                      <a:pt x="545" y="402"/>
                    </a:lnTo>
                    <a:lnTo>
                      <a:pt x="545" y="402"/>
                    </a:lnTo>
                    <a:lnTo>
                      <a:pt x="545" y="402"/>
                    </a:lnTo>
                    <a:lnTo>
                      <a:pt x="536" y="393"/>
                    </a:lnTo>
                    <a:lnTo>
                      <a:pt x="536" y="393"/>
                    </a:lnTo>
                    <a:lnTo>
                      <a:pt x="536" y="393"/>
                    </a:lnTo>
                    <a:lnTo>
                      <a:pt x="536" y="393"/>
                    </a:lnTo>
                    <a:lnTo>
                      <a:pt x="527" y="393"/>
                    </a:lnTo>
                    <a:lnTo>
                      <a:pt x="527" y="393"/>
                    </a:lnTo>
                    <a:lnTo>
                      <a:pt x="527" y="393"/>
                    </a:lnTo>
                    <a:lnTo>
                      <a:pt x="527" y="393"/>
                    </a:lnTo>
                    <a:lnTo>
                      <a:pt x="527" y="393"/>
                    </a:lnTo>
                    <a:lnTo>
                      <a:pt x="527" y="384"/>
                    </a:lnTo>
                    <a:lnTo>
                      <a:pt x="527" y="384"/>
                    </a:lnTo>
                    <a:lnTo>
                      <a:pt x="527" y="384"/>
                    </a:lnTo>
                    <a:lnTo>
                      <a:pt x="527" y="384"/>
                    </a:lnTo>
                    <a:lnTo>
                      <a:pt x="527" y="384"/>
                    </a:lnTo>
                    <a:lnTo>
                      <a:pt x="536" y="384"/>
                    </a:lnTo>
                    <a:lnTo>
                      <a:pt x="536" y="384"/>
                    </a:lnTo>
                    <a:lnTo>
                      <a:pt x="536" y="384"/>
                    </a:lnTo>
                    <a:lnTo>
                      <a:pt x="536" y="384"/>
                    </a:lnTo>
                    <a:lnTo>
                      <a:pt x="536" y="384"/>
                    </a:lnTo>
                    <a:lnTo>
                      <a:pt x="545" y="384"/>
                    </a:lnTo>
                    <a:lnTo>
                      <a:pt x="545" y="384"/>
                    </a:lnTo>
                    <a:lnTo>
                      <a:pt x="545" y="384"/>
                    </a:lnTo>
                    <a:lnTo>
                      <a:pt x="545" y="384"/>
                    </a:lnTo>
                    <a:lnTo>
                      <a:pt x="545" y="384"/>
                    </a:lnTo>
                    <a:lnTo>
                      <a:pt x="545" y="384"/>
                    </a:lnTo>
                    <a:lnTo>
                      <a:pt x="553" y="384"/>
                    </a:lnTo>
                    <a:lnTo>
                      <a:pt x="553" y="375"/>
                    </a:lnTo>
                    <a:lnTo>
                      <a:pt x="553" y="375"/>
                    </a:lnTo>
                    <a:lnTo>
                      <a:pt x="553" y="375"/>
                    </a:lnTo>
                    <a:lnTo>
                      <a:pt x="553" y="367"/>
                    </a:lnTo>
                    <a:lnTo>
                      <a:pt x="562" y="367"/>
                    </a:lnTo>
                    <a:lnTo>
                      <a:pt x="562" y="367"/>
                    </a:lnTo>
                    <a:lnTo>
                      <a:pt x="562" y="358"/>
                    </a:lnTo>
                    <a:lnTo>
                      <a:pt x="562" y="358"/>
                    </a:lnTo>
                    <a:lnTo>
                      <a:pt x="553" y="358"/>
                    </a:lnTo>
                    <a:lnTo>
                      <a:pt x="553" y="358"/>
                    </a:lnTo>
                    <a:lnTo>
                      <a:pt x="553" y="349"/>
                    </a:lnTo>
                    <a:lnTo>
                      <a:pt x="553" y="349"/>
                    </a:lnTo>
                    <a:lnTo>
                      <a:pt x="553" y="349"/>
                    </a:lnTo>
                    <a:lnTo>
                      <a:pt x="545" y="340"/>
                    </a:lnTo>
                    <a:lnTo>
                      <a:pt x="545" y="340"/>
                    </a:lnTo>
                    <a:lnTo>
                      <a:pt x="545" y="331"/>
                    </a:lnTo>
                    <a:lnTo>
                      <a:pt x="536" y="331"/>
                    </a:lnTo>
                    <a:lnTo>
                      <a:pt x="536" y="322"/>
                    </a:lnTo>
                    <a:lnTo>
                      <a:pt x="536" y="322"/>
                    </a:lnTo>
                    <a:lnTo>
                      <a:pt x="527" y="313"/>
                    </a:lnTo>
                    <a:lnTo>
                      <a:pt x="527" y="313"/>
                    </a:lnTo>
                    <a:lnTo>
                      <a:pt x="518" y="304"/>
                    </a:lnTo>
                    <a:lnTo>
                      <a:pt x="518" y="304"/>
                    </a:lnTo>
                    <a:lnTo>
                      <a:pt x="509" y="304"/>
                    </a:lnTo>
                    <a:lnTo>
                      <a:pt x="500" y="304"/>
                    </a:lnTo>
                    <a:lnTo>
                      <a:pt x="500" y="304"/>
                    </a:lnTo>
                    <a:lnTo>
                      <a:pt x="491" y="304"/>
                    </a:lnTo>
                    <a:lnTo>
                      <a:pt x="482" y="304"/>
                    </a:lnTo>
                    <a:lnTo>
                      <a:pt x="473" y="304"/>
                    </a:lnTo>
                    <a:lnTo>
                      <a:pt x="473" y="304"/>
                    </a:lnTo>
                    <a:lnTo>
                      <a:pt x="464" y="304"/>
                    </a:lnTo>
                    <a:lnTo>
                      <a:pt x="464" y="304"/>
                    </a:lnTo>
                    <a:lnTo>
                      <a:pt x="455" y="304"/>
                    </a:lnTo>
                    <a:lnTo>
                      <a:pt x="446" y="304"/>
                    </a:lnTo>
                    <a:lnTo>
                      <a:pt x="446" y="304"/>
                    </a:lnTo>
                    <a:lnTo>
                      <a:pt x="437" y="304"/>
                    </a:lnTo>
                    <a:lnTo>
                      <a:pt x="437" y="304"/>
                    </a:lnTo>
                    <a:lnTo>
                      <a:pt x="428" y="304"/>
                    </a:lnTo>
                    <a:lnTo>
                      <a:pt x="428" y="304"/>
                    </a:lnTo>
                    <a:lnTo>
                      <a:pt x="428" y="304"/>
                    </a:lnTo>
                    <a:lnTo>
                      <a:pt x="428" y="304"/>
                    </a:lnTo>
                    <a:lnTo>
                      <a:pt x="428" y="304"/>
                    </a:lnTo>
                    <a:lnTo>
                      <a:pt x="428" y="304"/>
                    </a:lnTo>
                    <a:lnTo>
                      <a:pt x="428" y="295"/>
                    </a:lnTo>
                    <a:lnTo>
                      <a:pt x="428" y="295"/>
                    </a:lnTo>
                    <a:lnTo>
                      <a:pt x="428" y="295"/>
                    </a:lnTo>
                    <a:lnTo>
                      <a:pt x="428" y="295"/>
                    </a:lnTo>
                    <a:lnTo>
                      <a:pt x="437" y="286"/>
                    </a:lnTo>
                    <a:lnTo>
                      <a:pt x="437" y="286"/>
                    </a:lnTo>
                    <a:lnTo>
                      <a:pt x="446" y="277"/>
                    </a:lnTo>
                    <a:lnTo>
                      <a:pt x="446" y="277"/>
                    </a:lnTo>
                    <a:lnTo>
                      <a:pt x="455" y="277"/>
                    </a:lnTo>
                    <a:lnTo>
                      <a:pt x="455" y="268"/>
                    </a:lnTo>
                    <a:lnTo>
                      <a:pt x="464" y="268"/>
                    </a:lnTo>
                    <a:lnTo>
                      <a:pt x="464" y="259"/>
                    </a:lnTo>
                    <a:lnTo>
                      <a:pt x="464" y="259"/>
                    </a:lnTo>
                    <a:lnTo>
                      <a:pt x="464" y="250"/>
                    </a:lnTo>
                    <a:lnTo>
                      <a:pt x="473" y="242"/>
                    </a:lnTo>
                    <a:lnTo>
                      <a:pt x="473" y="242"/>
                    </a:lnTo>
                    <a:lnTo>
                      <a:pt x="473" y="233"/>
                    </a:lnTo>
                    <a:lnTo>
                      <a:pt x="473" y="233"/>
                    </a:lnTo>
                    <a:lnTo>
                      <a:pt x="482" y="224"/>
                    </a:lnTo>
                    <a:lnTo>
                      <a:pt x="482" y="215"/>
                    </a:lnTo>
                    <a:lnTo>
                      <a:pt x="491" y="206"/>
                    </a:lnTo>
                    <a:lnTo>
                      <a:pt x="491" y="206"/>
                    </a:lnTo>
                    <a:lnTo>
                      <a:pt x="500" y="197"/>
                    </a:lnTo>
                    <a:lnTo>
                      <a:pt x="509" y="188"/>
                    </a:lnTo>
                    <a:lnTo>
                      <a:pt x="509" y="179"/>
                    </a:lnTo>
                    <a:lnTo>
                      <a:pt x="518" y="170"/>
                    </a:lnTo>
                    <a:lnTo>
                      <a:pt x="518" y="170"/>
                    </a:lnTo>
                    <a:lnTo>
                      <a:pt x="527" y="161"/>
                    </a:lnTo>
                    <a:lnTo>
                      <a:pt x="527" y="152"/>
                    </a:lnTo>
                    <a:lnTo>
                      <a:pt x="527" y="152"/>
                    </a:lnTo>
                    <a:lnTo>
                      <a:pt x="527" y="143"/>
                    </a:lnTo>
                    <a:lnTo>
                      <a:pt x="527" y="143"/>
                    </a:lnTo>
                    <a:lnTo>
                      <a:pt x="518" y="134"/>
                    </a:lnTo>
                    <a:lnTo>
                      <a:pt x="518" y="134"/>
                    </a:lnTo>
                    <a:lnTo>
                      <a:pt x="518" y="125"/>
                    </a:lnTo>
                    <a:lnTo>
                      <a:pt x="518" y="125"/>
                    </a:lnTo>
                    <a:lnTo>
                      <a:pt x="518" y="117"/>
                    </a:lnTo>
                    <a:lnTo>
                      <a:pt x="509" y="117"/>
                    </a:lnTo>
                    <a:lnTo>
                      <a:pt x="509" y="108"/>
                    </a:lnTo>
                    <a:lnTo>
                      <a:pt x="509" y="108"/>
                    </a:lnTo>
                    <a:lnTo>
                      <a:pt x="500" y="108"/>
                    </a:lnTo>
                    <a:lnTo>
                      <a:pt x="500" y="108"/>
                    </a:lnTo>
                    <a:lnTo>
                      <a:pt x="491" y="99"/>
                    </a:lnTo>
                    <a:lnTo>
                      <a:pt x="491" y="99"/>
                    </a:lnTo>
                    <a:lnTo>
                      <a:pt x="482" y="99"/>
                    </a:lnTo>
                    <a:lnTo>
                      <a:pt x="482" y="99"/>
                    </a:lnTo>
                    <a:lnTo>
                      <a:pt x="482" y="108"/>
                    </a:lnTo>
                    <a:lnTo>
                      <a:pt x="473" y="108"/>
                    </a:lnTo>
                    <a:lnTo>
                      <a:pt x="473" y="108"/>
                    </a:lnTo>
                    <a:lnTo>
                      <a:pt x="464" y="108"/>
                    </a:lnTo>
                    <a:lnTo>
                      <a:pt x="464" y="99"/>
                    </a:lnTo>
                    <a:lnTo>
                      <a:pt x="464" y="99"/>
                    </a:lnTo>
                    <a:lnTo>
                      <a:pt x="455" y="90"/>
                    </a:lnTo>
                    <a:lnTo>
                      <a:pt x="455" y="90"/>
                    </a:lnTo>
                    <a:lnTo>
                      <a:pt x="455" y="81"/>
                    </a:lnTo>
                    <a:lnTo>
                      <a:pt x="455" y="72"/>
                    </a:lnTo>
                    <a:lnTo>
                      <a:pt x="455" y="63"/>
                    </a:lnTo>
                    <a:lnTo>
                      <a:pt x="455" y="63"/>
                    </a:lnTo>
                    <a:lnTo>
                      <a:pt x="455" y="54"/>
                    </a:lnTo>
                    <a:lnTo>
                      <a:pt x="446" y="54"/>
                    </a:lnTo>
                    <a:lnTo>
                      <a:pt x="446" y="54"/>
                    </a:lnTo>
                    <a:lnTo>
                      <a:pt x="437" y="45"/>
                    </a:lnTo>
                    <a:lnTo>
                      <a:pt x="437" y="45"/>
                    </a:lnTo>
                    <a:lnTo>
                      <a:pt x="428" y="54"/>
                    </a:lnTo>
                    <a:lnTo>
                      <a:pt x="428" y="54"/>
                    </a:lnTo>
                    <a:lnTo>
                      <a:pt x="419" y="54"/>
                    </a:lnTo>
                    <a:lnTo>
                      <a:pt x="419" y="45"/>
                    </a:lnTo>
                    <a:lnTo>
                      <a:pt x="419" y="45"/>
                    </a:lnTo>
                    <a:lnTo>
                      <a:pt x="411" y="45"/>
                    </a:lnTo>
                    <a:lnTo>
                      <a:pt x="411" y="45"/>
                    </a:lnTo>
                    <a:lnTo>
                      <a:pt x="411" y="36"/>
                    </a:lnTo>
                    <a:lnTo>
                      <a:pt x="402" y="36"/>
                    </a:lnTo>
                    <a:lnTo>
                      <a:pt x="402" y="36"/>
                    </a:lnTo>
                    <a:lnTo>
                      <a:pt x="402" y="27"/>
                    </a:lnTo>
                    <a:lnTo>
                      <a:pt x="393" y="27"/>
                    </a:lnTo>
                    <a:lnTo>
                      <a:pt x="393" y="27"/>
                    </a:lnTo>
                    <a:lnTo>
                      <a:pt x="393" y="27"/>
                    </a:lnTo>
                    <a:lnTo>
                      <a:pt x="393" y="27"/>
                    </a:lnTo>
                    <a:lnTo>
                      <a:pt x="384" y="27"/>
                    </a:lnTo>
                    <a:lnTo>
                      <a:pt x="384" y="27"/>
                    </a:lnTo>
                    <a:lnTo>
                      <a:pt x="384" y="36"/>
                    </a:lnTo>
                    <a:lnTo>
                      <a:pt x="384" y="36"/>
                    </a:lnTo>
                    <a:lnTo>
                      <a:pt x="375" y="27"/>
                    </a:lnTo>
                    <a:lnTo>
                      <a:pt x="375" y="27"/>
                    </a:lnTo>
                    <a:lnTo>
                      <a:pt x="375" y="27"/>
                    </a:lnTo>
                    <a:lnTo>
                      <a:pt x="366" y="27"/>
                    </a:lnTo>
                    <a:lnTo>
                      <a:pt x="366" y="18"/>
                    </a:lnTo>
                    <a:lnTo>
                      <a:pt x="357" y="18"/>
                    </a:lnTo>
                    <a:lnTo>
                      <a:pt x="357" y="18"/>
                    </a:lnTo>
                    <a:lnTo>
                      <a:pt x="357" y="9"/>
                    </a:lnTo>
                    <a:lnTo>
                      <a:pt x="348" y="9"/>
                    </a:lnTo>
                    <a:lnTo>
                      <a:pt x="348" y="9"/>
                    </a:lnTo>
                    <a:lnTo>
                      <a:pt x="348" y="9"/>
                    </a:lnTo>
                    <a:lnTo>
                      <a:pt x="348" y="9"/>
                    </a:lnTo>
                    <a:lnTo>
                      <a:pt x="339" y="9"/>
                    </a:lnTo>
                    <a:lnTo>
                      <a:pt x="339" y="9"/>
                    </a:lnTo>
                    <a:lnTo>
                      <a:pt x="339" y="0"/>
                    </a:lnTo>
                    <a:lnTo>
                      <a:pt x="339" y="0"/>
                    </a:lnTo>
                    <a:lnTo>
                      <a:pt x="330" y="0"/>
                    </a:lnTo>
                    <a:lnTo>
                      <a:pt x="330" y="0"/>
                    </a:lnTo>
                    <a:lnTo>
                      <a:pt x="330" y="0"/>
                    </a:lnTo>
                    <a:lnTo>
                      <a:pt x="330" y="0"/>
                    </a:lnTo>
                    <a:lnTo>
                      <a:pt x="321" y="9"/>
                    </a:lnTo>
                    <a:lnTo>
                      <a:pt x="321" y="9"/>
                    </a:lnTo>
                    <a:lnTo>
                      <a:pt x="321" y="9"/>
                    </a:lnTo>
                    <a:lnTo>
                      <a:pt x="321" y="9"/>
                    </a:lnTo>
                    <a:lnTo>
                      <a:pt x="312" y="9"/>
                    </a:lnTo>
                    <a:lnTo>
                      <a:pt x="312" y="9"/>
                    </a:lnTo>
                    <a:lnTo>
                      <a:pt x="303" y="18"/>
                    </a:lnTo>
                    <a:lnTo>
                      <a:pt x="303" y="18"/>
                    </a:lnTo>
                    <a:lnTo>
                      <a:pt x="303" y="27"/>
                    </a:lnTo>
                    <a:lnTo>
                      <a:pt x="294" y="27"/>
                    </a:lnTo>
                    <a:lnTo>
                      <a:pt x="294" y="36"/>
                    </a:lnTo>
                    <a:lnTo>
                      <a:pt x="286" y="36"/>
                    </a:lnTo>
                    <a:lnTo>
                      <a:pt x="286" y="36"/>
                    </a:lnTo>
                    <a:lnTo>
                      <a:pt x="277" y="45"/>
                    </a:lnTo>
                    <a:lnTo>
                      <a:pt x="277" y="45"/>
                    </a:lnTo>
                    <a:lnTo>
                      <a:pt x="268" y="45"/>
                    </a:lnTo>
                    <a:lnTo>
                      <a:pt x="268" y="54"/>
                    </a:lnTo>
                    <a:lnTo>
                      <a:pt x="268" y="54"/>
                    </a:lnTo>
                    <a:lnTo>
                      <a:pt x="259" y="54"/>
                    </a:lnTo>
                    <a:lnTo>
                      <a:pt x="259" y="63"/>
                    </a:lnTo>
                    <a:lnTo>
                      <a:pt x="259" y="63"/>
                    </a:lnTo>
                    <a:lnTo>
                      <a:pt x="250" y="63"/>
                    </a:lnTo>
                    <a:lnTo>
                      <a:pt x="250" y="63"/>
                    </a:lnTo>
                    <a:lnTo>
                      <a:pt x="250" y="72"/>
                    </a:lnTo>
                    <a:lnTo>
                      <a:pt x="250" y="72"/>
                    </a:lnTo>
                    <a:lnTo>
                      <a:pt x="250" y="72"/>
                    </a:lnTo>
                    <a:lnTo>
                      <a:pt x="241" y="81"/>
                    </a:lnTo>
                    <a:lnTo>
                      <a:pt x="241" y="81"/>
                    </a:lnTo>
                    <a:lnTo>
                      <a:pt x="241" y="81"/>
                    </a:lnTo>
                    <a:lnTo>
                      <a:pt x="232" y="81"/>
                    </a:lnTo>
                    <a:lnTo>
                      <a:pt x="232" y="81"/>
                    </a:lnTo>
                    <a:lnTo>
                      <a:pt x="223" y="81"/>
                    </a:lnTo>
                    <a:lnTo>
                      <a:pt x="223" y="81"/>
                    </a:lnTo>
                    <a:lnTo>
                      <a:pt x="223" y="81"/>
                    </a:lnTo>
                    <a:lnTo>
                      <a:pt x="214" y="81"/>
                    </a:lnTo>
                    <a:lnTo>
                      <a:pt x="214" y="81"/>
                    </a:lnTo>
                    <a:lnTo>
                      <a:pt x="205" y="81"/>
                    </a:lnTo>
                    <a:lnTo>
                      <a:pt x="205" y="81"/>
                    </a:lnTo>
                    <a:lnTo>
                      <a:pt x="205" y="81"/>
                    </a:lnTo>
                    <a:lnTo>
                      <a:pt x="205" y="81"/>
                    </a:lnTo>
                    <a:lnTo>
                      <a:pt x="205" y="81"/>
                    </a:lnTo>
                    <a:lnTo>
                      <a:pt x="205" y="90"/>
                    </a:lnTo>
                    <a:lnTo>
                      <a:pt x="205" y="90"/>
                    </a:lnTo>
                    <a:lnTo>
                      <a:pt x="205" y="90"/>
                    </a:lnTo>
                    <a:lnTo>
                      <a:pt x="205" y="90"/>
                    </a:lnTo>
                    <a:lnTo>
                      <a:pt x="205" y="99"/>
                    </a:lnTo>
                    <a:lnTo>
                      <a:pt x="205" y="99"/>
                    </a:lnTo>
                    <a:lnTo>
                      <a:pt x="205" y="99"/>
                    </a:lnTo>
                    <a:lnTo>
                      <a:pt x="196" y="99"/>
                    </a:lnTo>
                    <a:lnTo>
                      <a:pt x="196" y="99"/>
                    </a:lnTo>
                    <a:lnTo>
                      <a:pt x="196" y="99"/>
                    </a:lnTo>
                    <a:lnTo>
                      <a:pt x="187" y="99"/>
                    </a:lnTo>
                    <a:lnTo>
                      <a:pt x="187" y="99"/>
                    </a:lnTo>
                    <a:lnTo>
                      <a:pt x="187" y="99"/>
                    </a:lnTo>
                    <a:lnTo>
                      <a:pt x="178" y="99"/>
                    </a:lnTo>
                    <a:lnTo>
                      <a:pt x="178" y="99"/>
                    </a:lnTo>
                    <a:lnTo>
                      <a:pt x="178" y="99"/>
                    </a:lnTo>
                    <a:lnTo>
                      <a:pt x="169" y="99"/>
                    </a:lnTo>
                    <a:lnTo>
                      <a:pt x="169" y="99"/>
                    </a:lnTo>
                    <a:lnTo>
                      <a:pt x="160" y="99"/>
                    </a:lnTo>
                    <a:lnTo>
                      <a:pt x="160" y="99"/>
                    </a:lnTo>
                    <a:lnTo>
                      <a:pt x="152" y="99"/>
                    </a:lnTo>
                    <a:lnTo>
                      <a:pt x="152" y="99"/>
                    </a:lnTo>
                    <a:lnTo>
                      <a:pt x="143" y="99"/>
                    </a:lnTo>
                    <a:lnTo>
                      <a:pt x="134" y="90"/>
                    </a:lnTo>
                    <a:lnTo>
                      <a:pt x="125" y="90"/>
                    </a:lnTo>
                    <a:lnTo>
                      <a:pt x="116" y="90"/>
                    </a:lnTo>
                    <a:lnTo>
                      <a:pt x="116" y="90"/>
                    </a:lnTo>
                    <a:lnTo>
                      <a:pt x="107" y="81"/>
                    </a:lnTo>
                    <a:lnTo>
                      <a:pt x="98" y="81"/>
                    </a:lnTo>
                    <a:lnTo>
                      <a:pt x="98" y="81"/>
                    </a:lnTo>
                    <a:lnTo>
                      <a:pt x="89" y="81"/>
                    </a:lnTo>
                    <a:lnTo>
                      <a:pt x="89" y="81"/>
                    </a:lnTo>
                    <a:lnTo>
                      <a:pt x="80" y="81"/>
                    </a:lnTo>
                    <a:lnTo>
                      <a:pt x="80" y="81"/>
                    </a:lnTo>
                    <a:lnTo>
                      <a:pt x="71" y="81"/>
                    </a:lnTo>
                    <a:lnTo>
                      <a:pt x="71" y="72"/>
                    </a:lnTo>
                    <a:lnTo>
                      <a:pt x="62" y="72"/>
                    </a:lnTo>
                    <a:lnTo>
                      <a:pt x="62" y="72"/>
                    </a:lnTo>
                    <a:lnTo>
                      <a:pt x="62" y="63"/>
                    </a:lnTo>
                    <a:lnTo>
                      <a:pt x="62" y="63"/>
                    </a:lnTo>
                    <a:lnTo>
                      <a:pt x="53" y="63"/>
                    </a:lnTo>
                    <a:lnTo>
                      <a:pt x="53" y="54"/>
                    </a:lnTo>
                    <a:lnTo>
                      <a:pt x="53" y="54"/>
                    </a:lnTo>
                    <a:lnTo>
                      <a:pt x="53" y="54"/>
                    </a:lnTo>
                    <a:lnTo>
                      <a:pt x="53" y="54"/>
                    </a:lnTo>
                    <a:lnTo>
                      <a:pt x="44" y="45"/>
                    </a:lnTo>
                    <a:lnTo>
                      <a:pt x="44" y="45"/>
                    </a:lnTo>
                    <a:lnTo>
                      <a:pt x="44" y="45"/>
                    </a:lnTo>
                    <a:lnTo>
                      <a:pt x="44" y="45"/>
                    </a:lnTo>
                    <a:lnTo>
                      <a:pt x="35" y="45"/>
                    </a:lnTo>
                    <a:lnTo>
                      <a:pt x="35" y="45"/>
                    </a:lnTo>
                    <a:lnTo>
                      <a:pt x="35" y="45"/>
                    </a:lnTo>
                    <a:lnTo>
                      <a:pt x="26" y="45"/>
                    </a:lnTo>
                    <a:lnTo>
                      <a:pt x="26" y="45"/>
                    </a:lnTo>
                    <a:lnTo>
                      <a:pt x="26" y="54"/>
                    </a:lnTo>
                    <a:lnTo>
                      <a:pt x="26" y="54"/>
                    </a:lnTo>
                    <a:lnTo>
                      <a:pt x="26" y="63"/>
                    </a:lnTo>
                    <a:lnTo>
                      <a:pt x="26" y="63"/>
                    </a:lnTo>
                    <a:lnTo>
                      <a:pt x="26" y="72"/>
                    </a:lnTo>
                    <a:lnTo>
                      <a:pt x="26" y="72"/>
                    </a:lnTo>
                    <a:lnTo>
                      <a:pt x="26" y="72"/>
                    </a:lnTo>
                    <a:lnTo>
                      <a:pt x="26" y="81"/>
                    </a:lnTo>
                    <a:lnTo>
                      <a:pt x="26" y="81"/>
                    </a:lnTo>
                    <a:lnTo>
                      <a:pt x="26" y="81"/>
                    </a:lnTo>
                    <a:lnTo>
                      <a:pt x="26" y="90"/>
                    </a:lnTo>
                    <a:lnTo>
                      <a:pt x="26" y="90"/>
                    </a:lnTo>
                    <a:lnTo>
                      <a:pt x="26" y="90"/>
                    </a:lnTo>
                    <a:lnTo>
                      <a:pt x="26" y="99"/>
                    </a:lnTo>
                    <a:lnTo>
                      <a:pt x="26" y="99"/>
                    </a:lnTo>
                    <a:lnTo>
                      <a:pt x="18" y="99"/>
                    </a:lnTo>
                    <a:lnTo>
                      <a:pt x="18" y="108"/>
                    </a:lnTo>
                    <a:lnTo>
                      <a:pt x="18" y="108"/>
                    </a:lnTo>
                    <a:lnTo>
                      <a:pt x="18" y="108"/>
                    </a:lnTo>
                    <a:lnTo>
                      <a:pt x="9" y="117"/>
                    </a:lnTo>
                    <a:lnTo>
                      <a:pt x="9" y="117"/>
                    </a:lnTo>
                    <a:lnTo>
                      <a:pt x="9" y="117"/>
                    </a:lnTo>
                    <a:lnTo>
                      <a:pt x="9" y="125"/>
                    </a:lnTo>
                    <a:lnTo>
                      <a:pt x="9" y="125"/>
                    </a:lnTo>
                    <a:lnTo>
                      <a:pt x="9" y="134"/>
                    </a:lnTo>
                    <a:lnTo>
                      <a:pt x="0" y="134"/>
                    </a:lnTo>
                    <a:lnTo>
                      <a:pt x="0" y="143"/>
                    </a:lnTo>
                    <a:lnTo>
                      <a:pt x="0" y="143"/>
                    </a:lnTo>
                    <a:lnTo>
                      <a:pt x="0" y="152"/>
                    </a:lnTo>
                    <a:lnTo>
                      <a:pt x="0" y="152"/>
                    </a:lnTo>
                    <a:lnTo>
                      <a:pt x="0" y="152"/>
                    </a:lnTo>
                    <a:lnTo>
                      <a:pt x="0" y="152"/>
                    </a:lnTo>
                    <a:lnTo>
                      <a:pt x="0" y="152"/>
                    </a:lnTo>
                    <a:lnTo>
                      <a:pt x="0" y="152"/>
                    </a:lnTo>
                    <a:lnTo>
                      <a:pt x="0" y="152"/>
                    </a:lnTo>
                    <a:lnTo>
                      <a:pt x="0" y="152"/>
                    </a:lnTo>
                    <a:lnTo>
                      <a:pt x="0" y="152"/>
                    </a:lnTo>
                    <a:lnTo>
                      <a:pt x="0" y="152"/>
                    </a:lnTo>
                  </a:path>
                </a:pathLst>
              </a:custGeom>
              <a:solidFill>
                <a:schemeClr val="accent6">
                  <a:lumMod val="60000"/>
                  <a:lumOff val="40000"/>
                </a:schemeClr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30" name="Freeform 53">
                <a:extLst>
                  <a:ext uri="{FF2B5EF4-FFF2-40B4-BE49-F238E27FC236}">
                    <a16:creationId xmlns:a16="http://schemas.microsoft.com/office/drawing/2014/main" id="{00000000-0008-0000-0C00-00001E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556" y="5272"/>
                <a:ext cx="1842" cy="1504"/>
              </a:xfrm>
              <a:custGeom>
                <a:avLst/>
                <a:gdLst>
                  <a:gd name="T0" fmla="*/ 35 w 830"/>
                  <a:gd name="T1" fmla="*/ 571 h 634"/>
                  <a:gd name="T2" fmla="*/ 8 w 830"/>
                  <a:gd name="T3" fmla="*/ 598 h 634"/>
                  <a:gd name="T4" fmla="*/ 26 w 830"/>
                  <a:gd name="T5" fmla="*/ 634 h 634"/>
                  <a:gd name="T6" fmla="*/ 53 w 830"/>
                  <a:gd name="T7" fmla="*/ 607 h 634"/>
                  <a:gd name="T8" fmla="*/ 80 w 830"/>
                  <a:gd name="T9" fmla="*/ 598 h 634"/>
                  <a:gd name="T10" fmla="*/ 134 w 830"/>
                  <a:gd name="T11" fmla="*/ 589 h 634"/>
                  <a:gd name="T12" fmla="*/ 160 w 830"/>
                  <a:gd name="T13" fmla="*/ 544 h 634"/>
                  <a:gd name="T14" fmla="*/ 205 w 830"/>
                  <a:gd name="T15" fmla="*/ 517 h 634"/>
                  <a:gd name="T16" fmla="*/ 223 w 830"/>
                  <a:gd name="T17" fmla="*/ 526 h 634"/>
                  <a:gd name="T18" fmla="*/ 250 w 830"/>
                  <a:gd name="T19" fmla="*/ 553 h 634"/>
                  <a:gd name="T20" fmla="*/ 285 w 830"/>
                  <a:gd name="T21" fmla="*/ 562 h 634"/>
                  <a:gd name="T22" fmla="*/ 294 w 830"/>
                  <a:gd name="T23" fmla="*/ 580 h 634"/>
                  <a:gd name="T24" fmla="*/ 339 w 830"/>
                  <a:gd name="T25" fmla="*/ 571 h 634"/>
                  <a:gd name="T26" fmla="*/ 375 w 830"/>
                  <a:gd name="T27" fmla="*/ 535 h 634"/>
                  <a:gd name="T28" fmla="*/ 401 w 830"/>
                  <a:gd name="T29" fmla="*/ 526 h 634"/>
                  <a:gd name="T30" fmla="*/ 401 w 830"/>
                  <a:gd name="T31" fmla="*/ 482 h 634"/>
                  <a:gd name="T32" fmla="*/ 428 w 830"/>
                  <a:gd name="T33" fmla="*/ 464 h 634"/>
                  <a:gd name="T34" fmla="*/ 473 w 830"/>
                  <a:gd name="T35" fmla="*/ 482 h 634"/>
                  <a:gd name="T36" fmla="*/ 500 w 830"/>
                  <a:gd name="T37" fmla="*/ 509 h 634"/>
                  <a:gd name="T38" fmla="*/ 509 w 830"/>
                  <a:gd name="T39" fmla="*/ 473 h 634"/>
                  <a:gd name="T40" fmla="*/ 535 w 830"/>
                  <a:gd name="T41" fmla="*/ 491 h 634"/>
                  <a:gd name="T42" fmla="*/ 544 w 830"/>
                  <a:gd name="T43" fmla="*/ 544 h 634"/>
                  <a:gd name="T44" fmla="*/ 580 w 830"/>
                  <a:gd name="T45" fmla="*/ 571 h 634"/>
                  <a:gd name="T46" fmla="*/ 625 w 830"/>
                  <a:gd name="T47" fmla="*/ 580 h 634"/>
                  <a:gd name="T48" fmla="*/ 669 w 830"/>
                  <a:gd name="T49" fmla="*/ 571 h 634"/>
                  <a:gd name="T50" fmla="*/ 652 w 830"/>
                  <a:gd name="T51" fmla="*/ 544 h 634"/>
                  <a:gd name="T52" fmla="*/ 634 w 830"/>
                  <a:gd name="T53" fmla="*/ 509 h 634"/>
                  <a:gd name="T54" fmla="*/ 598 w 830"/>
                  <a:gd name="T55" fmla="*/ 473 h 634"/>
                  <a:gd name="T56" fmla="*/ 598 w 830"/>
                  <a:gd name="T57" fmla="*/ 437 h 634"/>
                  <a:gd name="T58" fmla="*/ 643 w 830"/>
                  <a:gd name="T59" fmla="*/ 410 h 634"/>
                  <a:gd name="T60" fmla="*/ 652 w 830"/>
                  <a:gd name="T61" fmla="*/ 357 h 634"/>
                  <a:gd name="T62" fmla="*/ 678 w 830"/>
                  <a:gd name="T63" fmla="*/ 339 h 634"/>
                  <a:gd name="T64" fmla="*/ 794 w 830"/>
                  <a:gd name="T65" fmla="*/ 348 h 634"/>
                  <a:gd name="T66" fmla="*/ 786 w 830"/>
                  <a:gd name="T67" fmla="*/ 285 h 634"/>
                  <a:gd name="T68" fmla="*/ 777 w 830"/>
                  <a:gd name="T69" fmla="*/ 241 h 634"/>
                  <a:gd name="T70" fmla="*/ 768 w 830"/>
                  <a:gd name="T71" fmla="*/ 169 h 634"/>
                  <a:gd name="T72" fmla="*/ 732 w 830"/>
                  <a:gd name="T73" fmla="*/ 107 h 634"/>
                  <a:gd name="T74" fmla="*/ 696 w 830"/>
                  <a:gd name="T75" fmla="*/ 89 h 634"/>
                  <a:gd name="T76" fmla="*/ 625 w 830"/>
                  <a:gd name="T77" fmla="*/ 80 h 634"/>
                  <a:gd name="T78" fmla="*/ 544 w 830"/>
                  <a:gd name="T79" fmla="*/ 26 h 634"/>
                  <a:gd name="T80" fmla="*/ 410 w 830"/>
                  <a:gd name="T81" fmla="*/ 0 h 634"/>
                  <a:gd name="T82" fmla="*/ 375 w 830"/>
                  <a:gd name="T83" fmla="*/ 17 h 634"/>
                  <a:gd name="T84" fmla="*/ 401 w 830"/>
                  <a:gd name="T85" fmla="*/ 44 h 634"/>
                  <a:gd name="T86" fmla="*/ 428 w 830"/>
                  <a:gd name="T87" fmla="*/ 62 h 634"/>
                  <a:gd name="T88" fmla="*/ 401 w 830"/>
                  <a:gd name="T89" fmla="*/ 71 h 634"/>
                  <a:gd name="T90" fmla="*/ 384 w 830"/>
                  <a:gd name="T91" fmla="*/ 107 h 634"/>
                  <a:gd name="T92" fmla="*/ 357 w 830"/>
                  <a:gd name="T93" fmla="*/ 116 h 634"/>
                  <a:gd name="T94" fmla="*/ 393 w 830"/>
                  <a:gd name="T95" fmla="*/ 133 h 634"/>
                  <a:gd name="T96" fmla="*/ 366 w 830"/>
                  <a:gd name="T97" fmla="*/ 160 h 634"/>
                  <a:gd name="T98" fmla="*/ 321 w 830"/>
                  <a:gd name="T99" fmla="*/ 169 h 634"/>
                  <a:gd name="T100" fmla="*/ 276 w 830"/>
                  <a:gd name="T101" fmla="*/ 187 h 634"/>
                  <a:gd name="T102" fmla="*/ 250 w 830"/>
                  <a:gd name="T103" fmla="*/ 160 h 634"/>
                  <a:gd name="T104" fmla="*/ 205 w 830"/>
                  <a:gd name="T105" fmla="*/ 169 h 634"/>
                  <a:gd name="T106" fmla="*/ 178 w 830"/>
                  <a:gd name="T107" fmla="*/ 196 h 634"/>
                  <a:gd name="T108" fmla="*/ 169 w 830"/>
                  <a:gd name="T109" fmla="*/ 259 h 634"/>
                  <a:gd name="T110" fmla="*/ 178 w 830"/>
                  <a:gd name="T111" fmla="*/ 330 h 634"/>
                  <a:gd name="T112" fmla="*/ 134 w 830"/>
                  <a:gd name="T113" fmla="*/ 348 h 634"/>
                  <a:gd name="T114" fmla="*/ 134 w 830"/>
                  <a:gd name="T115" fmla="*/ 419 h 634"/>
                  <a:gd name="T116" fmla="*/ 107 w 830"/>
                  <a:gd name="T117" fmla="*/ 437 h 634"/>
                  <a:gd name="T118" fmla="*/ 89 w 830"/>
                  <a:gd name="T119" fmla="*/ 482 h 634"/>
                  <a:gd name="T120" fmla="*/ 44 w 830"/>
                  <a:gd name="T121" fmla="*/ 500 h 63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</a:cxnLst>
                <a:rect l="0" t="0" r="r" b="b"/>
                <a:pathLst>
                  <a:path w="830" h="634">
                    <a:moveTo>
                      <a:pt x="17" y="491"/>
                    </a:moveTo>
                    <a:lnTo>
                      <a:pt x="17" y="491"/>
                    </a:lnTo>
                    <a:lnTo>
                      <a:pt x="17" y="500"/>
                    </a:lnTo>
                    <a:lnTo>
                      <a:pt x="17" y="500"/>
                    </a:lnTo>
                    <a:lnTo>
                      <a:pt x="17" y="500"/>
                    </a:lnTo>
                    <a:lnTo>
                      <a:pt x="26" y="509"/>
                    </a:lnTo>
                    <a:lnTo>
                      <a:pt x="26" y="509"/>
                    </a:lnTo>
                    <a:lnTo>
                      <a:pt x="26" y="509"/>
                    </a:lnTo>
                    <a:lnTo>
                      <a:pt x="26" y="517"/>
                    </a:lnTo>
                    <a:lnTo>
                      <a:pt x="26" y="517"/>
                    </a:lnTo>
                    <a:lnTo>
                      <a:pt x="26" y="526"/>
                    </a:lnTo>
                    <a:lnTo>
                      <a:pt x="26" y="526"/>
                    </a:lnTo>
                    <a:lnTo>
                      <a:pt x="26" y="535"/>
                    </a:lnTo>
                    <a:lnTo>
                      <a:pt x="35" y="535"/>
                    </a:lnTo>
                    <a:lnTo>
                      <a:pt x="35" y="544"/>
                    </a:lnTo>
                    <a:lnTo>
                      <a:pt x="35" y="544"/>
                    </a:lnTo>
                    <a:lnTo>
                      <a:pt x="35" y="544"/>
                    </a:lnTo>
                    <a:lnTo>
                      <a:pt x="35" y="553"/>
                    </a:lnTo>
                    <a:lnTo>
                      <a:pt x="35" y="553"/>
                    </a:lnTo>
                    <a:lnTo>
                      <a:pt x="35" y="562"/>
                    </a:lnTo>
                    <a:lnTo>
                      <a:pt x="35" y="562"/>
                    </a:lnTo>
                    <a:lnTo>
                      <a:pt x="35" y="571"/>
                    </a:lnTo>
                    <a:lnTo>
                      <a:pt x="35" y="571"/>
                    </a:lnTo>
                    <a:lnTo>
                      <a:pt x="35" y="580"/>
                    </a:lnTo>
                    <a:lnTo>
                      <a:pt x="35" y="580"/>
                    </a:lnTo>
                    <a:lnTo>
                      <a:pt x="35" y="580"/>
                    </a:lnTo>
                    <a:lnTo>
                      <a:pt x="26" y="580"/>
                    </a:lnTo>
                    <a:lnTo>
                      <a:pt x="26" y="580"/>
                    </a:lnTo>
                    <a:lnTo>
                      <a:pt x="26" y="580"/>
                    </a:lnTo>
                    <a:lnTo>
                      <a:pt x="26" y="580"/>
                    </a:lnTo>
                    <a:lnTo>
                      <a:pt x="26" y="580"/>
                    </a:lnTo>
                    <a:lnTo>
                      <a:pt x="26" y="580"/>
                    </a:lnTo>
                    <a:lnTo>
                      <a:pt x="17" y="580"/>
                    </a:lnTo>
                    <a:lnTo>
                      <a:pt x="17" y="580"/>
                    </a:lnTo>
                    <a:lnTo>
                      <a:pt x="17" y="580"/>
                    </a:lnTo>
                    <a:lnTo>
                      <a:pt x="17" y="589"/>
                    </a:lnTo>
                    <a:lnTo>
                      <a:pt x="17" y="589"/>
                    </a:lnTo>
                    <a:lnTo>
                      <a:pt x="8" y="589"/>
                    </a:lnTo>
                    <a:lnTo>
                      <a:pt x="8" y="589"/>
                    </a:lnTo>
                    <a:lnTo>
                      <a:pt x="8" y="589"/>
                    </a:lnTo>
                    <a:lnTo>
                      <a:pt x="8" y="589"/>
                    </a:lnTo>
                    <a:lnTo>
                      <a:pt x="8" y="589"/>
                    </a:lnTo>
                    <a:lnTo>
                      <a:pt x="8" y="598"/>
                    </a:lnTo>
                    <a:lnTo>
                      <a:pt x="8" y="598"/>
                    </a:lnTo>
                    <a:lnTo>
                      <a:pt x="0" y="598"/>
                    </a:lnTo>
                    <a:lnTo>
                      <a:pt x="0" y="607"/>
                    </a:lnTo>
                    <a:lnTo>
                      <a:pt x="0" y="607"/>
                    </a:lnTo>
                    <a:lnTo>
                      <a:pt x="0" y="607"/>
                    </a:lnTo>
                    <a:lnTo>
                      <a:pt x="0" y="616"/>
                    </a:lnTo>
                    <a:lnTo>
                      <a:pt x="0" y="616"/>
                    </a:lnTo>
                    <a:lnTo>
                      <a:pt x="0" y="616"/>
                    </a:lnTo>
                    <a:lnTo>
                      <a:pt x="8" y="616"/>
                    </a:lnTo>
                    <a:lnTo>
                      <a:pt x="8" y="625"/>
                    </a:lnTo>
                    <a:lnTo>
                      <a:pt x="8" y="625"/>
                    </a:lnTo>
                    <a:lnTo>
                      <a:pt x="8" y="625"/>
                    </a:lnTo>
                    <a:lnTo>
                      <a:pt x="8" y="634"/>
                    </a:lnTo>
                    <a:lnTo>
                      <a:pt x="8" y="634"/>
                    </a:lnTo>
                    <a:lnTo>
                      <a:pt x="8" y="634"/>
                    </a:lnTo>
                    <a:lnTo>
                      <a:pt x="8" y="634"/>
                    </a:lnTo>
                    <a:lnTo>
                      <a:pt x="17" y="634"/>
                    </a:lnTo>
                    <a:lnTo>
                      <a:pt x="17" y="634"/>
                    </a:lnTo>
                    <a:lnTo>
                      <a:pt x="17" y="634"/>
                    </a:lnTo>
                    <a:lnTo>
                      <a:pt x="17" y="634"/>
                    </a:lnTo>
                    <a:lnTo>
                      <a:pt x="26" y="634"/>
                    </a:lnTo>
                    <a:lnTo>
                      <a:pt x="26" y="634"/>
                    </a:lnTo>
                    <a:lnTo>
                      <a:pt x="26" y="634"/>
                    </a:lnTo>
                    <a:lnTo>
                      <a:pt x="35" y="634"/>
                    </a:lnTo>
                    <a:lnTo>
                      <a:pt x="35" y="634"/>
                    </a:lnTo>
                    <a:lnTo>
                      <a:pt x="35" y="634"/>
                    </a:lnTo>
                    <a:lnTo>
                      <a:pt x="44" y="634"/>
                    </a:lnTo>
                    <a:lnTo>
                      <a:pt x="44" y="634"/>
                    </a:lnTo>
                    <a:lnTo>
                      <a:pt x="44" y="634"/>
                    </a:lnTo>
                    <a:lnTo>
                      <a:pt x="53" y="634"/>
                    </a:lnTo>
                    <a:lnTo>
                      <a:pt x="53" y="634"/>
                    </a:lnTo>
                    <a:lnTo>
                      <a:pt x="53" y="634"/>
                    </a:lnTo>
                    <a:lnTo>
                      <a:pt x="53" y="625"/>
                    </a:lnTo>
                    <a:lnTo>
                      <a:pt x="53" y="625"/>
                    </a:lnTo>
                    <a:lnTo>
                      <a:pt x="53" y="625"/>
                    </a:lnTo>
                    <a:lnTo>
                      <a:pt x="53" y="625"/>
                    </a:lnTo>
                    <a:lnTo>
                      <a:pt x="53" y="625"/>
                    </a:lnTo>
                    <a:lnTo>
                      <a:pt x="53" y="616"/>
                    </a:lnTo>
                    <a:lnTo>
                      <a:pt x="53" y="616"/>
                    </a:lnTo>
                    <a:lnTo>
                      <a:pt x="53" y="616"/>
                    </a:lnTo>
                    <a:lnTo>
                      <a:pt x="53" y="616"/>
                    </a:lnTo>
                    <a:lnTo>
                      <a:pt x="53" y="616"/>
                    </a:lnTo>
                    <a:lnTo>
                      <a:pt x="53" y="616"/>
                    </a:lnTo>
                    <a:lnTo>
                      <a:pt x="53" y="616"/>
                    </a:lnTo>
                    <a:lnTo>
                      <a:pt x="53" y="607"/>
                    </a:lnTo>
                    <a:lnTo>
                      <a:pt x="53" y="607"/>
                    </a:lnTo>
                    <a:lnTo>
                      <a:pt x="53" y="607"/>
                    </a:lnTo>
                    <a:lnTo>
                      <a:pt x="53" y="607"/>
                    </a:lnTo>
                    <a:lnTo>
                      <a:pt x="53" y="607"/>
                    </a:lnTo>
                    <a:lnTo>
                      <a:pt x="62" y="607"/>
                    </a:lnTo>
                    <a:lnTo>
                      <a:pt x="62" y="607"/>
                    </a:lnTo>
                    <a:lnTo>
                      <a:pt x="62" y="607"/>
                    </a:lnTo>
                    <a:lnTo>
                      <a:pt x="62" y="607"/>
                    </a:lnTo>
                    <a:lnTo>
                      <a:pt x="62" y="607"/>
                    </a:lnTo>
                    <a:lnTo>
                      <a:pt x="62" y="607"/>
                    </a:lnTo>
                    <a:lnTo>
                      <a:pt x="71" y="607"/>
                    </a:lnTo>
                    <a:lnTo>
                      <a:pt x="71" y="607"/>
                    </a:lnTo>
                    <a:lnTo>
                      <a:pt x="71" y="607"/>
                    </a:lnTo>
                    <a:lnTo>
                      <a:pt x="71" y="607"/>
                    </a:lnTo>
                    <a:lnTo>
                      <a:pt x="71" y="598"/>
                    </a:lnTo>
                    <a:lnTo>
                      <a:pt x="71" y="598"/>
                    </a:lnTo>
                    <a:lnTo>
                      <a:pt x="80" y="598"/>
                    </a:lnTo>
                    <a:lnTo>
                      <a:pt x="80" y="598"/>
                    </a:lnTo>
                    <a:lnTo>
                      <a:pt x="80" y="598"/>
                    </a:lnTo>
                    <a:lnTo>
                      <a:pt x="80" y="598"/>
                    </a:lnTo>
                    <a:lnTo>
                      <a:pt x="80" y="598"/>
                    </a:lnTo>
                    <a:lnTo>
                      <a:pt x="80" y="598"/>
                    </a:lnTo>
                    <a:lnTo>
                      <a:pt x="80" y="598"/>
                    </a:lnTo>
                    <a:lnTo>
                      <a:pt x="89" y="598"/>
                    </a:lnTo>
                    <a:lnTo>
                      <a:pt x="89" y="598"/>
                    </a:lnTo>
                    <a:lnTo>
                      <a:pt x="89" y="598"/>
                    </a:lnTo>
                    <a:lnTo>
                      <a:pt x="89" y="598"/>
                    </a:lnTo>
                    <a:lnTo>
                      <a:pt x="98" y="598"/>
                    </a:lnTo>
                    <a:lnTo>
                      <a:pt x="98" y="598"/>
                    </a:lnTo>
                    <a:lnTo>
                      <a:pt x="98" y="598"/>
                    </a:lnTo>
                    <a:lnTo>
                      <a:pt x="98" y="598"/>
                    </a:lnTo>
                    <a:lnTo>
                      <a:pt x="107" y="598"/>
                    </a:lnTo>
                    <a:lnTo>
                      <a:pt x="107" y="598"/>
                    </a:lnTo>
                    <a:lnTo>
                      <a:pt x="107" y="598"/>
                    </a:lnTo>
                    <a:lnTo>
                      <a:pt x="116" y="598"/>
                    </a:lnTo>
                    <a:lnTo>
                      <a:pt x="116" y="598"/>
                    </a:lnTo>
                    <a:lnTo>
                      <a:pt x="116" y="598"/>
                    </a:lnTo>
                    <a:lnTo>
                      <a:pt x="125" y="598"/>
                    </a:lnTo>
                    <a:lnTo>
                      <a:pt x="125" y="598"/>
                    </a:lnTo>
                    <a:lnTo>
                      <a:pt x="125" y="598"/>
                    </a:lnTo>
                    <a:lnTo>
                      <a:pt x="134" y="598"/>
                    </a:lnTo>
                    <a:lnTo>
                      <a:pt x="134" y="589"/>
                    </a:lnTo>
                    <a:lnTo>
                      <a:pt x="134" y="589"/>
                    </a:lnTo>
                    <a:lnTo>
                      <a:pt x="134" y="589"/>
                    </a:lnTo>
                    <a:lnTo>
                      <a:pt x="142" y="589"/>
                    </a:lnTo>
                    <a:lnTo>
                      <a:pt x="142" y="589"/>
                    </a:lnTo>
                    <a:lnTo>
                      <a:pt x="142" y="589"/>
                    </a:lnTo>
                    <a:lnTo>
                      <a:pt x="142" y="589"/>
                    </a:lnTo>
                    <a:lnTo>
                      <a:pt x="151" y="580"/>
                    </a:lnTo>
                    <a:lnTo>
                      <a:pt x="151" y="580"/>
                    </a:lnTo>
                    <a:lnTo>
                      <a:pt x="151" y="580"/>
                    </a:lnTo>
                    <a:lnTo>
                      <a:pt x="151" y="580"/>
                    </a:lnTo>
                    <a:lnTo>
                      <a:pt x="151" y="580"/>
                    </a:lnTo>
                    <a:lnTo>
                      <a:pt x="151" y="580"/>
                    </a:lnTo>
                    <a:lnTo>
                      <a:pt x="160" y="571"/>
                    </a:lnTo>
                    <a:lnTo>
                      <a:pt x="160" y="571"/>
                    </a:lnTo>
                    <a:lnTo>
                      <a:pt x="160" y="571"/>
                    </a:lnTo>
                    <a:lnTo>
                      <a:pt x="160" y="571"/>
                    </a:lnTo>
                    <a:lnTo>
                      <a:pt x="160" y="562"/>
                    </a:lnTo>
                    <a:lnTo>
                      <a:pt x="160" y="562"/>
                    </a:lnTo>
                    <a:lnTo>
                      <a:pt x="160" y="553"/>
                    </a:lnTo>
                    <a:lnTo>
                      <a:pt x="160" y="553"/>
                    </a:lnTo>
                    <a:lnTo>
                      <a:pt x="160" y="553"/>
                    </a:lnTo>
                    <a:lnTo>
                      <a:pt x="160" y="544"/>
                    </a:lnTo>
                    <a:lnTo>
                      <a:pt x="160" y="544"/>
                    </a:lnTo>
                    <a:lnTo>
                      <a:pt x="160" y="544"/>
                    </a:lnTo>
                    <a:lnTo>
                      <a:pt x="160" y="544"/>
                    </a:lnTo>
                    <a:lnTo>
                      <a:pt x="160" y="535"/>
                    </a:lnTo>
                    <a:lnTo>
                      <a:pt x="160" y="535"/>
                    </a:lnTo>
                    <a:lnTo>
                      <a:pt x="160" y="535"/>
                    </a:lnTo>
                    <a:lnTo>
                      <a:pt x="169" y="535"/>
                    </a:lnTo>
                    <a:lnTo>
                      <a:pt x="169" y="526"/>
                    </a:lnTo>
                    <a:lnTo>
                      <a:pt x="169" y="526"/>
                    </a:lnTo>
                    <a:lnTo>
                      <a:pt x="169" y="526"/>
                    </a:lnTo>
                    <a:lnTo>
                      <a:pt x="169" y="526"/>
                    </a:lnTo>
                    <a:lnTo>
                      <a:pt x="169" y="526"/>
                    </a:lnTo>
                    <a:lnTo>
                      <a:pt x="169" y="526"/>
                    </a:lnTo>
                    <a:lnTo>
                      <a:pt x="178" y="526"/>
                    </a:lnTo>
                    <a:lnTo>
                      <a:pt x="178" y="526"/>
                    </a:lnTo>
                    <a:lnTo>
                      <a:pt x="178" y="517"/>
                    </a:lnTo>
                    <a:lnTo>
                      <a:pt x="178" y="517"/>
                    </a:lnTo>
                    <a:lnTo>
                      <a:pt x="187" y="517"/>
                    </a:lnTo>
                    <a:lnTo>
                      <a:pt x="187" y="517"/>
                    </a:lnTo>
                    <a:lnTo>
                      <a:pt x="187" y="517"/>
                    </a:lnTo>
                    <a:lnTo>
                      <a:pt x="196" y="517"/>
                    </a:lnTo>
                    <a:lnTo>
                      <a:pt x="196" y="517"/>
                    </a:lnTo>
                    <a:lnTo>
                      <a:pt x="196" y="517"/>
                    </a:lnTo>
                    <a:lnTo>
                      <a:pt x="205" y="517"/>
                    </a:lnTo>
                    <a:lnTo>
                      <a:pt x="205" y="517"/>
                    </a:lnTo>
                    <a:lnTo>
                      <a:pt x="205" y="517"/>
                    </a:lnTo>
                    <a:lnTo>
                      <a:pt x="205" y="517"/>
                    </a:lnTo>
                    <a:lnTo>
                      <a:pt x="205" y="517"/>
                    </a:lnTo>
                    <a:lnTo>
                      <a:pt x="214" y="517"/>
                    </a:lnTo>
                    <a:lnTo>
                      <a:pt x="214" y="517"/>
                    </a:lnTo>
                    <a:lnTo>
                      <a:pt x="214" y="517"/>
                    </a:lnTo>
                    <a:lnTo>
                      <a:pt x="214" y="517"/>
                    </a:lnTo>
                    <a:lnTo>
                      <a:pt x="223" y="517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32" y="526"/>
                    </a:lnTo>
                    <a:lnTo>
                      <a:pt x="232" y="526"/>
                    </a:lnTo>
                    <a:lnTo>
                      <a:pt x="232" y="526"/>
                    </a:lnTo>
                    <a:lnTo>
                      <a:pt x="232" y="535"/>
                    </a:lnTo>
                    <a:lnTo>
                      <a:pt x="232" y="535"/>
                    </a:lnTo>
                    <a:lnTo>
                      <a:pt x="232" y="535"/>
                    </a:lnTo>
                    <a:lnTo>
                      <a:pt x="232" y="535"/>
                    </a:lnTo>
                    <a:lnTo>
                      <a:pt x="232" y="535"/>
                    </a:lnTo>
                    <a:lnTo>
                      <a:pt x="232" y="535"/>
                    </a:lnTo>
                    <a:lnTo>
                      <a:pt x="232" y="535"/>
                    </a:lnTo>
                    <a:lnTo>
                      <a:pt x="232" y="544"/>
                    </a:lnTo>
                    <a:lnTo>
                      <a:pt x="241" y="544"/>
                    </a:lnTo>
                    <a:lnTo>
                      <a:pt x="241" y="544"/>
                    </a:lnTo>
                    <a:lnTo>
                      <a:pt x="241" y="544"/>
                    </a:lnTo>
                    <a:lnTo>
                      <a:pt x="241" y="544"/>
                    </a:lnTo>
                    <a:lnTo>
                      <a:pt x="241" y="544"/>
                    </a:lnTo>
                    <a:lnTo>
                      <a:pt x="241" y="544"/>
                    </a:lnTo>
                    <a:lnTo>
                      <a:pt x="241" y="553"/>
                    </a:lnTo>
                    <a:lnTo>
                      <a:pt x="241" y="553"/>
                    </a:lnTo>
                    <a:lnTo>
                      <a:pt x="250" y="553"/>
                    </a:lnTo>
                    <a:lnTo>
                      <a:pt x="250" y="553"/>
                    </a:lnTo>
                    <a:lnTo>
                      <a:pt x="250" y="553"/>
                    </a:lnTo>
                    <a:lnTo>
                      <a:pt x="250" y="553"/>
                    </a:lnTo>
                    <a:lnTo>
                      <a:pt x="259" y="562"/>
                    </a:lnTo>
                    <a:lnTo>
                      <a:pt x="259" y="562"/>
                    </a:lnTo>
                    <a:lnTo>
                      <a:pt x="259" y="562"/>
                    </a:lnTo>
                    <a:lnTo>
                      <a:pt x="259" y="562"/>
                    </a:lnTo>
                    <a:lnTo>
                      <a:pt x="267" y="562"/>
                    </a:lnTo>
                    <a:lnTo>
                      <a:pt x="267" y="562"/>
                    </a:lnTo>
                    <a:lnTo>
                      <a:pt x="267" y="562"/>
                    </a:lnTo>
                    <a:lnTo>
                      <a:pt x="267" y="562"/>
                    </a:lnTo>
                    <a:lnTo>
                      <a:pt x="276" y="562"/>
                    </a:lnTo>
                    <a:lnTo>
                      <a:pt x="276" y="562"/>
                    </a:lnTo>
                    <a:lnTo>
                      <a:pt x="276" y="562"/>
                    </a:lnTo>
                    <a:lnTo>
                      <a:pt x="276" y="562"/>
                    </a:lnTo>
                    <a:lnTo>
                      <a:pt x="276" y="562"/>
                    </a:lnTo>
                    <a:lnTo>
                      <a:pt x="276" y="562"/>
                    </a:lnTo>
                    <a:lnTo>
                      <a:pt x="285" y="562"/>
                    </a:lnTo>
                    <a:lnTo>
                      <a:pt x="285" y="562"/>
                    </a:lnTo>
                    <a:lnTo>
                      <a:pt x="285" y="562"/>
                    </a:lnTo>
                    <a:lnTo>
                      <a:pt x="285" y="562"/>
                    </a:lnTo>
                    <a:lnTo>
                      <a:pt x="285" y="562"/>
                    </a:lnTo>
                    <a:lnTo>
                      <a:pt x="285" y="562"/>
                    </a:lnTo>
                    <a:lnTo>
                      <a:pt x="285" y="562"/>
                    </a:lnTo>
                    <a:lnTo>
                      <a:pt x="285" y="562"/>
                    </a:lnTo>
                    <a:lnTo>
                      <a:pt x="285" y="562"/>
                    </a:lnTo>
                    <a:lnTo>
                      <a:pt x="285" y="562"/>
                    </a:lnTo>
                    <a:lnTo>
                      <a:pt x="285" y="562"/>
                    </a:lnTo>
                    <a:lnTo>
                      <a:pt x="285" y="571"/>
                    </a:lnTo>
                    <a:lnTo>
                      <a:pt x="285" y="571"/>
                    </a:lnTo>
                    <a:lnTo>
                      <a:pt x="285" y="571"/>
                    </a:lnTo>
                    <a:lnTo>
                      <a:pt x="285" y="571"/>
                    </a:lnTo>
                    <a:lnTo>
                      <a:pt x="285" y="571"/>
                    </a:lnTo>
                    <a:lnTo>
                      <a:pt x="285" y="571"/>
                    </a:lnTo>
                    <a:lnTo>
                      <a:pt x="285" y="571"/>
                    </a:lnTo>
                    <a:lnTo>
                      <a:pt x="294" y="571"/>
                    </a:lnTo>
                    <a:lnTo>
                      <a:pt x="294" y="580"/>
                    </a:lnTo>
                    <a:lnTo>
                      <a:pt x="294" y="580"/>
                    </a:lnTo>
                    <a:lnTo>
                      <a:pt x="294" y="580"/>
                    </a:lnTo>
                    <a:lnTo>
                      <a:pt x="294" y="580"/>
                    </a:lnTo>
                    <a:lnTo>
                      <a:pt x="294" y="580"/>
                    </a:lnTo>
                    <a:lnTo>
                      <a:pt x="294" y="580"/>
                    </a:lnTo>
                    <a:lnTo>
                      <a:pt x="294" y="580"/>
                    </a:lnTo>
                    <a:lnTo>
                      <a:pt x="294" y="580"/>
                    </a:lnTo>
                    <a:lnTo>
                      <a:pt x="294" y="580"/>
                    </a:lnTo>
                    <a:lnTo>
                      <a:pt x="294" y="580"/>
                    </a:lnTo>
                    <a:lnTo>
                      <a:pt x="294" y="580"/>
                    </a:lnTo>
                    <a:lnTo>
                      <a:pt x="303" y="580"/>
                    </a:lnTo>
                    <a:lnTo>
                      <a:pt x="303" y="580"/>
                    </a:lnTo>
                    <a:lnTo>
                      <a:pt x="303" y="580"/>
                    </a:lnTo>
                    <a:lnTo>
                      <a:pt x="303" y="580"/>
                    </a:lnTo>
                    <a:lnTo>
                      <a:pt x="312" y="589"/>
                    </a:lnTo>
                    <a:lnTo>
                      <a:pt x="312" y="589"/>
                    </a:lnTo>
                    <a:lnTo>
                      <a:pt x="312" y="589"/>
                    </a:lnTo>
                    <a:lnTo>
                      <a:pt x="321" y="589"/>
                    </a:lnTo>
                    <a:lnTo>
                      <a:pt x="321" y="589"/>
                    </a:lnTo>
                    <a:lnTo>
                      <a:pt x="321" y="589"/>
                    </a:lnTo>
                    <a:lnTo>
                      <a:pt x="321" y="589"/>
                    </a:lnTo>
                    <a:lnTo>
                      <a:pt x="321" y="580"/>
                    </a:lnTo>
                    <a:lnTo>
                      <a:pt x="330" y="580"/>
                    </a:lnTo>
                    <a:lnTo>
                      <a:pt x="330" y="580"/>
                    </a:lnTo>
                    <a:lnTo>
                      <a:pt x="330" y="580"/>
                    </a:lnTo>
                    <a:lnTo>
                      <a:pt x="330" y="580"/>
                    </a:lnTo>
                    <a:lnTo>
                      <a:pt x="330" y="580"/>
                    </a:lnTo>
                    <a:lnTo>
                      <a:pt x="339" y="580"/>
                    </a:lnTo>
                    <a:lnTo>
                      <a:pt x="339" y="580"/>
                    </a:lnTo>
                    <a:lnTo>
                      <a:pt x="339" y="571"/>
                    </a:lnTo>
                    <a:lnTo>
                      <a:pt x="339" y="571"/>
                    </a:lnTo>
                    <a:lnTo>
                      <a:pt x="339" y="571"/>
                    </a:lnTo>
                    <a:lnTo>
                      <a:pt x="339" y="571"/>
                    </a:lnTo>
                    <a:lnTo>
                      <a:pt x="339" y="562"/>
                    </a:lnTo>
                    <a:lnTo>
                      <a:pt x="339" y="562"/>
                    </a:lnTo>
                    <a:lnTo>
                      <a:pt x="348" y="562"/>
                    </a:lnTo>
                    <a:lnTo>
                      <a:pt x="348" y="562"/>
                    </a:lnTo>
                    <a:lnTo>
                      <a:pt x="348" y="553"/>
                    </a:lnTo>
                    <a:lnTo>
                      <a:pt x="348" y="553"/>
                    </a:lnTo>
                    <a:lnTo>
                      <a:pt x="348" y="553"/>
                    </a:lnTo>
                    <a:lnTo>
                      <a:pt x="348" y="553"/>
                    </a:lnTo>
                    <a:lnTo>
                      <a:pt x="348" y="544"/>
                    </a:lnTo>
                    <a:lnTo>
                      <a:pt x="357" y="544"/>
                    </a:lnTo>
                    <a:lnTo>
                      <a:pt x="357" y="544"/>
                    </a:lnTo>
                    <a:lnTo>
                      <a:pt x="357" y="544"/>
                    </a:lnTo>
                    <a:lnTo>
                      <a:pt x="357" y="544"/>
                    </a:lnTo>
                    <a:lnTo>
                      <a:pt x="357" y="544"/>
                    </a:lnTo>
                    <a:lnTo>
                      <a:pt x="366" y="544"/>
                    </a:lnTo>
                    <a:lnTo>
                      <a:pt x="366" y="544"/>
                    </a:lnTo>
                    <a:lnTo>
                      <a:pt x="366" y="535"/>
                    </a:lnTo>
                    <a:lnTo>
                      <a:pt x="366" y="535"/>
                    </a:lnTo>
                    <a:lnTo>
                      <a:pt x="366" y="535"/>
                    </a:lnTo>
                    <a:lnTo>
                      <a:pt x="375" y="535"/>
                    </a:lnTo>
                    <a:lnTo>
                      <a:pt x="375" y="535"/>
                    </a:lnTo>
                    <a:lnTo>
                      <a:pt x="375" y="535"/>
                    </a:lnTo>
                    <a:lnTo>
                      <a:pt x="375" y="535"/>
                    </a:lnTo>
                    <a:lnTo>
                      <a:pt x="375" y="535"/>
                    </a:lnTo>
                    <a:lnTo>
                      <a:pt x="384" y="535"/>
                    </a:lnTo>
                    <a:lnTo>
                      <a:pt x="384" y="535"/>
                    </a:lnTo>
                    <a:lnTo>
                      <a:pt x="384" y="535"/>
                    </a:lnTo>
                    <a:lnTo>
                      <a:pt x="384" y="535"/>
                    </a:lnTo>
                    <a:lnTo>
                      <a:pt x="393" y="535"/>
                    </a:lnTo>
                    <a:lnTo>
                      <a:pt x="393" y="535"/>
                    </a:lnTo>
                    <a:lnTo>
                      <a:pt x="393" y="535"/>
                    </a:lnTo>
                    <a:lnTo>
                      <a:pt x="393" y="535"/>
                    </a:lnTo>
                    <a:lnTo>
                      <a:pt x="401" y="535"/>
                    </a:lnTo>
                    <a:lnTo>
                      <a:pt x="401" y="535"/>
                    </a:lnTo>
                    <a:lnTo>
                      <a:pt x="401" y="535"/>
                    </a:lnTo>
                    <a:lnTo>
                      <a:pt x="401" y="535"/>
                    </a:lnTo>
                    <a:lnTo>
                      <a:pt x="401" y="535"/>
                    </a:lnTo>
                    <a:lnTo>
                      <a:pt x="401" y="535"/>
                    </a:lnTo>
                    <a:lnTo>
                      <a:pt x="401" y="535"/>
                    </a:lnTo>
                    <a:lnTo>
                      <a:pt x="401" y="535"/>
                    </a:lnTo>
                    <a:lnTo>
                      <a:pt x="401" y="535"/>
                    </a:lnTo>
                    <a:lnTo>
                      <a:pt x="401" y="526"/>
                    </a:lnTo>
                    <a:lnTo>
                      <a:pt x="410" y="526"/>
                    </a:lnTo>
                    <a:lnTo>
                      <a:pt x="410" y="526"/>
                    </a:lnTo>
                    <a:lnTo>
                      <a:pt x="410" y="526"/>
                    </a:lnTo>
                    <a:lnTo>
                      <a:pt x="410" y="517"/>
                    </a:lnTo>
                    <a:lnTo>
                      <a:pt x="410" y="517"/>
                    </a:lnTo>
                    <a:lnTo>
                      <a:pt x="410" y="517"/>
                    </a:lnTo>
                    <a:lnTo>
                      <a:pt x="410" y="517"/>
                    </a:lnTo>
                    <a:lnTo>
                      <a:pt x="410" y="517"/>
                    </a:lnTo>
                    <a:lnTo>
                      <a:pt x="410" y="509"/>
                    </a:lnTo>
                    <a:lnTo>
                      <a:pt x="410" y="509"/>
                    </a:lnTo>
                    <a:lnTo>
                      <a:pt x="410" y="509"/>
                    </a:lnTo>
                    <a:lnTo>
                      <a:pt x="410" y="509"/>
                    </a:lnTo>
                    <a:lnTo>
                      <a:pt x="410" y="500"/>
                    </a:lnTo>
                    <a:lnTo>
                      <a:pt x="410" y="500"/>
                    </a:lnTo>
                    <a:lnTo>
                      <a:pt x="410" y="500"/>
                    </a:lnTo>
                    <a:lnTo>
                      <a:pt x="401" y="500"/>
                    </a:lnTo>
                    <a:lnTo>
                      <a:pt x="401" y="491"/>
                    </a:lnTo>
                    <a:lnTo>
                      <a:pt x="401" y="491"/>
                    </a:lnTo>
                    <a:lnTo>
                      <a:pt x="401" y="491"/>
                    </a:lnTo>
                    <a:lnTo>
                      <a:pt x="401" y="491"/>
                    </a:lnTo>
                    <a:lnTo>
                      <a:pt x="401" y="482"/>
                    </a:lnTo>
                    <a:lnTo>
                      <a:pt x="401" y="482"/>
                    </a:lnTo>
                    <a:lnTo>
                      <a:pt x="401" y="482"/>
                    </a:lnTo>
                    <a:lnTo>
                      <a:pt x="401" y="482"/>
                    </a:lnTo>
                    <a:lnTo>
                      <a:pt x="401" y="482"/>
                    </a:lnTo>
                    <a:lnTo>
                      <a:pt x="401" y="473"/>
                    </a:lnTo>
                    <a:lnTo>
                      <a:pt x="401" y="473"/>
                    </a:lnTo>
                    <a:lnTo>
                      <a:pt x="410" y="473"/>
                    </a:lnTo>
                    <a:lnTo>
                      <a:pt x="410" y="473"/>
                    </a:lnTo>
                    <a:lnTo>
                      <a:pt x="410" y="473"/>
                    </a:lnTo>
                    <a:lnTo>
                      <a:pt x="410" y="473"/>
                    </a:lnTo>
                    <a:lnTo>
                      <a:pt x="410" y="473"/>
                    </a:lnTo>
                    <a:lnTo>
                      <a:pt x="410" y="473"/>
                    </a:lnTo>
                    <a:lnTo>
                      <a:pt x="410" y="464"/>
                    </a:lnTo>
                    <a:lnTo>
                      <a:pt x="410" y="464"/>
                    </a:lnTo>
                    <a:lnTo>
                      <a:pt x="410" y="464"/>
                    </a:lnTo>
                    <a:lnTo>
                      <a:pt x="410" y="464"/>
                    </a:lnTo>
                    <a:lnTo>
                      <a:pt x="419" y="464"/>
                    </a:lnTo>
                    <a:lnTo>
                      <a:pt x="419" y="464"/>
                    </a:lnTo>
                    <a:lnTo>
                      <a:pt x="419" y="464"/>
                    </a:lnTo>
                    <a:lnTo>
                      <a:pt x="419" y="464"/>
                    </a:lnTo>
                    <a:lnTo>
                      <a:pt x="428" y="464"/>
                    </a:lnTo>
                    <a:lnTo>
                      <a:pt x="428" y="464"/>
                    </a:lnTo>
                    <a:lnTo>
                      <a:pt x="428" y="464"/>
                    </a:lnTo>
                    <a:lnTo>
                      <a:pt x="428" y="464"/>
                    </a:lnTo>
                    <a:lnTo>
                      <a:pt x="437" y="464"/>
                    </a:lnTo>
                    <a:lnTo>
                      <a:pt x="437" y="464"/>
                    </a:lnTo>
                    <a:lnTo>
                      <a:pt x="437" y="464"/>
                    </a:lnTo>
                    <a:lnTo>
                      <a:pt x="446" y="464"/>
                    </a:lnTo>
                    <a:lnTo>
                      <a:pt x="446" y="464"/>
                    </a:lnTo>
                    <a:lnTo>
                      <a:pt x="446" y="464"/>
                    </a:lnTo>
                    <a:lnTo>
                      <a:pt x="455" y="464"/>
                    </a:lnTo>
                    <a:lnTo>
                      <a:pt x="455" y="473"/>
                    </a:lnTo>
                    <a:lnTo>
                      <a:pt x="455" y="473"/>
                    </a:lnTo>
                    <a:lnTo>
                      <a:pt x="464" y="473"/>
                    </a:lnTo>
                    <a:lnTo>
                      <a:pt x="464" y="473"/>
                    </a:lnTo>
                    <a:lnTo>
                      <a:pt x="464" y="473"/>
                    </a:lnTo>
                    <a:lnTo>
                      <a:pt x="464" y="473"/>
                    </a:lnTo>
                    <a:lnTo>
                      <a:pt x="464" y="473"/>
                    </a:lnTo>
                    <a:lnTo>
                      <a:pt x="464" y="473"/>
                    </a:lnTo>
                    <a:lnTo>
                      <a:pt x="464" y="473"/>
                    </a:lnTo>
                    <a:lnTo>
                      <a:pt x="473" y="482"/>
                    </a:lnTo>
                    <a:lnTo>
                      <a:pt x="473" y="482"/>
                    </a:lnTo>
                    <a:lnTo>
                      <a:pt x="473" y="482"/>
                    </a:lnTo>
                    <a:lnTo>
                      <a:pt x="473" y="482"/>
                    </a:lnTo>
                    <a:lnTo>
                      <a:pt x="473" y="482"/>
                    </a:lnTo>
                    <a:lnTo>
                      <a:pt x="473" y="491"/>
                    </a:lnTo>
                    <a:lnTo>
                      <a:pt x="473" y="491"/>
                    </a:lnTo>
                    <a:lnTo>
                      <a:pt x="473" y="491"/>
                    </a:lnTo>
                    <a:lnTo>
                      <a:pt x="473" y="491"/>
                    </a:lnTo>
                    <a:lnTo>
                      <a:pt x="482" y="500"/>
                    </a:lnTo>
                    <a:lnTo>
                      <a:pt x="482" y="500"/>
                    </a:lnTo>
                    <a:lnTo>
                      <a:pt x="482" y="500"/>
                    </a:lnTo>
                    <a:lnTo>
                      <a:pt x="482" y="500"/>
                    </a:lnTo>
                    <a:lnTo>
                      <a:pt x="482" y="500"/>
                    </a:lnTo>
                    <a:lnTo>
                      <a:pt x="482" y="500"/>
                    </a:lnTo>
                    <a:lnTo>
                      <a:pt x="491" y="500"/>
                    </a:lnTo>
                    <a:lnTo>
                      <a:pt x="491" y="509"/>
                    </a:lnTo>
                    <a:lnTo>
                      <a:pt x="491" y="509"/>
                    </a:lnTo>
                    <a:lnTo>
                      <a:pt x="491" y="509"/>
                    </a:lnTo>
                    <a:lnTo>
                      <a:pt x="491" y="509"/>
                    </a:lnTo>
                    <a:lnTo>
                      <a:pt x="491" y="509"/>
                    </a:lnTo>
                    <a:lnTo>
                      <a:pt x="500" y="509"/>
                    </a:lnTo>
                    <a:lnTo>
                      <a:pt x="500" y="509"/>
                    </a:lnTo>
                    <a:lnTo>
                      <a:pt x="500" y="509"/>
                    </a:lnTo>
                    <a:lnTo>
                      <a:pt x="500" y="509"/>
                    </a:lnTo>
                    <a:lnTo>
                      <a:pt x="500" y="509"/>
                    </a:lnTo>
                    <a:lnTo>
                      <a:pt x="500" y="509"/>
                    </a:lnTo>
                    <a:lnTo>
                      <a:pt x="509" y="509"/>
                    </a:lnTo>
                    <a:lnTo>
                      <a:pt x="509" y="509"/>
                    </a:lnTo>
                    <a:lnTo>
                      <a:pt x="509" y="500"/>
                    </a:lnTo>
                    <a:lnTo>
                      <a:pt x="509" y="500"/>
                    </a:lnTo>
                    <a:lnTo>
                      <a:pt x="509" y="500"/>
                    </a:lnTo>
                    <a:lnTo>
                      <a:pt x="509" y="500"/>
                    </a:lnTo>
                    <a:lnTo>
                      <a:pt x="509" y="500"/>
                    </a:lnTo>
                    <a:lnTo>
                      <a:pt x="509" y="500"/>
                    </a:lnTo>
                    <a:lnTo>
                      <a:pt x="509" y="500"/>
                    </a:lnTo>
                    <a:lnTo>
                      <a:pt x="509" y="500"/>
                    </a:lnTo>
                    <a:lnTo>
                      <a:pt x="509" y="491"/>
                    </a:lnTo>
                    <a:lnTo>
                      <a:pt x="509" y="491"/>
                    </a:lnTo>
                    <a:lnTo>
                      <a:pt x="509" y="491"/>
                    </a:lnTo>
                    <a:lnTo>
                      <a:pt x="509" y="491"/>
                    </a:lnTo>
                    <a:lnTo>
                      <a:pt x="509" y="491"/>
                    </a:lnTo>
                    <a:lnTo>
                      <a:pt x="509" y="491"/>
                    </a:lnTo>
                    <a:lnTo>
                      <a:pt x="509" y="491"/>
                    </a:lnTo>
                    <a:lnTo>
                      <a:pt x="509" y="482"/>
                    </a:lnTo>
                    <a:lnTo>
                      <a:pt x="509" y="482"/>
                    </a:lnTo>
                    <a:lnTo>
                      <a:pt x="509" y="482"/>
                    </a:lnTo>
                    <a:lnTo>
                      <a:pt x="509" y="482"/>
                    </a:lnTo>
                    <a:lnTo>
                      <a:pt x="509" y="473"/>
                    </a:lnTo>
                    <a:lnTo>
                      <a:pt x="509" y="473"/>
                    </a:lnTo>
                    <a:lnTo>
                      <a:pt x="509" y="473"/>
                    </a:lnTo>
                    <a:lnTo>
                      <a:pt x="509" y="473"/>
                    </a:lnTo>
                    <a:lnTo>
                      <a:pt x="518" y="473"/>
                    </a:lnTo>
                    <a:lnTo>
                      <a:pt x="518" y="473"/>
                    </a:lnTo>
                    <a:lnTo>
                      <a:pt x="518" y="473"/>
                    </a:lnTo>
                    <a:lnTo>
                      <a:pt x="518" y="473"/>
                    </a:lnTo>
                    <a:lnTo>
                      <a:pt x="518" y="473"/>
                    </a:lnTo>
                    <a:lnTo>
                      <a:pt x="518" y="473"/>
                    </a:lnTo>
                    <a:lnTo>
                      <a:pt x="518" y="473"/>
                    </a:lnTo>
                    <a:lnTo>
                      <a:pt x="527" y="473"/>
                    </a:lnTo>
                    <a:lnTo>
                      <a:pt x="527" y="473"/>
                    </a:lnTo>
                    <a:lnTo>
                      <a:pt x="527" y="482"/>
                    </a:lnTo>
                    <a:lnTo>
                      <a:pt x="527" y="482"/>
                    </a:lnTo>
                    <a:lnTo>
                      <a:pt x="527" y="482"/>
                    </a:lnTo>
                    <a:lnTo>
                      <a:pt x="527" y="482"/>
                    </a:lnTo>
                    <a:lnTo>
                      <a:pt x="535" y="482"/>
                    </a:lnTo>
                    <a:lnTo>
                      <a:pt x="535" y="482"/>
                    </a:lnTo>
                    <a:lnTo>
                      <a:pt x="535" y="482"/>
                    </a:lnTo>
                    <a:lnTo>
                      <a:pt x="535" y="491"/>
                    </a:lnTo>
                    <a:lnTo>
                      <a:pt x="535" y="491"/>
                    </a:lnTo>
                    <a:lnTo>
                      <a:pt x="535" y="491"/>
                    </a:lnTo>
                    <a:lnTo>
                      <a:pt x="535" y="491"/>
                    </a:lnTo>
                    <a:lnTo>
                      <a:pt x="535" y="491"/>
                    </a:lnTo>
                    <a:lnTo>
                      <a:pt x="535" y="500"/>
                    </a:lnTo>
                    <a:lnTo>
                      <a:pt x="535" y="500"/>
                    </a:lnTo>
                    <a:lnTo>
                      <a:pt x="535" y="500"/>
                    </a:lnTo>
                    <a:lnTo>
                      <a:pt x="535" y="509"/>
                    </a:lnTo>
                    <a:lnTo>
                      <a:pt x="535" y="509"/>
                    </a:lnTo>
                    <a:lnTo>
                      <a:pt x="535" y="509"/>
                    </a:lnTo>
                    <a:lnTo>
                      <a:pt x="535" y="517"/>
                    </a:lnTo>
                    <a:lnTo>
                      <a:pt x="535" y="517"/>
                    </a:lnTo>
                    <a:lnTo>
                      <a:pt x="535" y="517"/>
                    </a:lnTo>
                    <a:lnTo>
                      <a:pt x="535" y="526"/>
                    </a:lnTo>
                    <a:lnTo>
                      <a:pt x="535" y="526"/>
                    </a:lnTo>
                    <a:lnTo>
                      <a:pt x="535" y="526"/>
                    </a:lnTo>
                    <a:lnTo>
                      <a:pt x="535" y="526"/>
                    </a:lnTo>
                    <a:lnTo>
                      <a:pt x="535" y="535"/>
                    </a:lnTo>
                    <a:lnTo>
                      <a:pt x="535" y="535"/>
                    </a:lnTo>
                    <a:lnTo>
                      <a:pt x="535" y="535"/>
                    </a:lnTo>
                    <a:lnTo>
                      <a:pt x="535" y="544"/>
                    </a:lnTo>
                    <a:lnTo>
                      <a:pt x="535" y="544"/>
                    </a:lnTo>
                    <a:lnTo>
                      <a:pt x="544" y="544"/>
                    </a:lnTo>
                    <a:lnTo>
                      <a:pt x="544" y="544"/>
                    </a:lnTo>
                    <a:lnTo>
                      <a:pt x="544" y="544"/>
                    </a:lnTo>
                    <a:lnTo>
                      <a:pt x="544" y="553"/>
                    </a:lnTo>
                    <a:lnTo>
                      <a:pt x="544" y="553"/>
                    </a:lnTo>
                    <a:lnTo>
                      <a:pt x="544" y="553"/>
                    </a:lnTo>
                    <a:lnTo>
                      <a:pt x="553" y="553"/>
                    </a:lnTo>
                    <a:lnTo>
                      <a:pt x="553" y="553"/>
                    </a:lnTo>
                    <a:lnTo>
                      <a:pt x="553" y="553"/>
                    </a:lnTo>
                    <a:lnTo>
                      <a:pt x="553" y="553"/>
                    </a:lnTo>
                    <a:lnTo>
                      <a:pt x="562" y="562"/>
                    </a:lnTo>
                    <a:lnTo>
                      <a:pt x="562" y="562"/>
                    </a:lnTo>
                    <a:lnTo>
                      <a:pt x="562" y="562"/>
                    </a:lnTo>
                    <a:lnTo>
                      <a:pt x="562" y="562"/>
                    </a:lnTo>
                    <a:lnTo>
                      <a:pt x="571" y="562"/>
                    </a:lnTo>
                    <a:lnTo>
                      <a:pt x="571" y="562"/>
                    </a:lnTo>
                    <a:lnTo>
                      <a:pt x="571" y="562"/>
                    </a:lnTo>
                    <a:lnTo>
                      <a:pt x="571" y="562"/>
                    </a:lnTo>
                    <a:lnTo>
                      <a:pt x="571" y="562"/>
                    </a:lnTo>
                    <a:lnTo>
                      <a:pt x="571" y="562"/>
                    </a:lnTo>
                    <a:lnTo>
                      <a:pt x="580" y="571"/>
                    </a:lnTo>
                    <a:lnTo>
                      <a:pt x="580" y="571"/>
                    </a:lnTo>
                    <a:lnTo>
                      <a:pt x="580" y="571"/>
                    </a:lnTo>
                    <a:lnTo>
                      <a:pt x="580" y="571"/>
                    </a:lnTo>
                    <a:lnTo>
                      <a:pt x="580" y="571"/>
                    </a:lnTo>
                    <a:lnTo>
                      <a:pt x="589" y="571"/>
                    </a:lnTo>
                    <a:lnTo>
                      <a:pt x="589" y="571"/>
                    </a:lnTo>
                    <a:lnTo>
                      <a:pt x="589" y="571"/>
                    </a:lnTo>
                    <a:lnTo>
                      <a:pt x="589" y="571"/>
                    </a:lnTo>
                    <a:lnTo>
                      <a:pt x="589" y="571"/>
                    </a:lnTo>
                    <a:lnTo>
                      <a:pt x="598" y="571"/>
                    </a:lnTo>
                    <a:lnTo>
                      <a:pt x="598" y="571"/>
                    </a:lnTo>
                    <a:lnTo>
                      <a:pt x="598" y="571"/>
                    </a:lnTo>
                    <a:lnTo>
                      <a:pt x="607" y="571"/>
                    </a:lnTo>
                    <a:lnTo>
                      <a:pt x="607" y="571"/>
                    </a:lnTo>
                    <a:lnTo>
                      <a:pt x="607" y="571"/>
                    </a:lnTo>
                    <a:lnTo>
                      <a:pt x="607" y="571"/>
                    </a:lnTo>
                    <a:lnTo>
                      <a:pt x="616" y="571"/>
                    </a:lnTo>
                    <a:lnTo>
                      <a:pt x="616" y="571"/>
                    </a:lnTo>
                    <a:lnTo>
                      <a:pt x="616" y="571"/>
                    </a:lnTo>
                    <a:lnTo>
                      <a:pt x="616" y="571"/>
                    </a:lnTo>
                    <a:lnTo>
                      <a:pt x="616" y="571"/>
                    </a:lnTo>
                    <a:lnTo>
                      <a:pt x="616" y="571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34" y="580"/>
                    </a:lnTo>
                    <a:lnTo>
                      <a:pt x="634" y="580"/>
                    </a:lnTo>
                    <a:lnTo>
                      <a:pt x="634" y="580"/>
                    </a:lnTo>
                    <a:lnTo>
                      <a:pt x="634" y="580"/>
                    </a:lnTo>
                    <a:lnTo>
                      <a:pt x="643" y="580"/>
                    </a:lnTo>
                    <a:lnTo>
                      <a:pt x="643" y="580"/>
                    </a:lnTo>
                    <a:lnTo>
                      <a:pt x="643" y="580"/>
                    </a:lnTo>
                    <a:lnTo>
                      <a:pt x="643" y="580"/>
                    </a:lnTo>
                    <a:lnTo>
                      <a:pt x="652" y="580"/>
                    </a:lnTo>
                    <a:lnTo>
                      <a:pt x="652" y="580"/>
                    </a:lnTo>
                    <a:lnTo>
                      <a:pt x="652" y="580"/>
                    </a:lnTo>
                    <a:lnTo>
                      <a:pt x="661" y="580"/>
                    </a:lnTo>
                    <a:lnTo>
                      <a:pt x="661" y="580"/>
                    </a:lnTo>
                    <a:lnTo>
                      <a:pt x="661" y="580"/>
                    </a:lnTo>
                    <a:lnTo>
                      <a:pt x="669" y="580"/>
                    </a:lnTo>
                    <a:lnTo>
                      <a:pt x="669" y="580"/>
                    </a:lnTo>
                    <a:lnTo>
                      <a:pt x="669" y="571"/>
                    </a:lnTo>
                    <a:lnTo>
                      <a:pt x="669" y="571"/>
                    </a:lnTo>
                    <a:lnTo>
                      <a:pt x="669" y="571"/>
                    </a:lnTo>
                    <a:lnTo>
                      <a:pt x="669" y="571"/>
                    </a:lnTo>
                    <a:lnTo>
                      <a:pt x="669" y="571"/>
                    </a:lnTo>
                    <a:lnTo>
                      <a:pt x="669" y="562"/>
                    </a:lnTo>
                    <a:lnTo>
                      <a:pt x="669" y="562"/>
                    </a:lnTo>
                    <a:lnTo>
                      <a:pt x="669" y="562"/>
                    </a:lnTo>
                    <a:lnTo>
                      <a:pt x="669" y="562"/>
                    </a:lnTo>
                    <a:lnTo>
                      <a:pt x="669" y="562"/>
                    </a:lnTo>
                    <a:lnTo>
                      <a:pt x="661" y="553"/>
                    </a:lnTo>
                    <a:lnTo>
                      <a:pt x="661" y="553"/>
                    </a:lnTo>
                    <a:lnTo>
                      <a:pt x="661" y="553"/>
                    </a:lnTo>
                    <a:lnTo>
                      <a:pt x="661" y="553"/>
                    </a:lnTo>
                    <a:lnTo>
                      <a:pt x="661" y="553"/>
                    </a:lnTo>
                    <a:lnTo>
                      <a:pt x="661" y="553"/>
                    </a:lnTo>
                    <a:lnTo>
                      <a:pt x="661" y="553"/>
                    </a:lnTo>
                    <a:lnTo>
                      <a:pt x="661" y="553"/>
                    </a:lnTo>
                    <a:lnTo>
                      <a:pt x="661" y="553"/>
                    </a:lnTo>
                    <a:lnTo>
                      <a:pt x="661" y="553"/>
                    </a:lnTo>
                    <a:lnTo>
                      <a:pt x="652" y="544"/>
                    </a:lnTo>
                    <a:lnTo>
                      <a:pt x="652" y="544"/>
                    </a:lnTo>
                    <a:lnTo>
                      <a:pt x="652" y="544"/>
                    </a:lnTo>
                    <a:lnTo>
                      <a:pt x="652" y="544"/>
                    </a:lnTo>
                    <a:lnTo>
                      <a:pt x="652" y="544"/>
                    </a:lnTo>
                    <a:lnTo>
                      <a:pt x="652" y="544"/>
                    </a:lnTo>
                    <a:lnTo>
                      <a:pt x="652" y="544"/>
                    </a:lnTo>
                    <a:lnTo>
                      <a:pt x="652" y="544"/>
                    </a:lnTo>
                    <a:lnTo>
                      <a:pt x="652" y="544"/>
                    </a:lnTo>
                    <a:lnTo>
                      <a:pt x="652" y="544"/>
                    </a:lnTo>
                    <a:lnTo>
                      <a:pt x="652" y="535"/>
                    </a:lnTo>
                    <a:lnTo>
                      <a:pt x="652" y="535"/>
                    </a:lnTo>
                    <a:lnTo>
                      <a:pt x="652" y="535"/>
                    </a:lnTo>
                    <a:lnTo>
                      <a:pt x="652" y="535"/>
                    </a:lnTo>
                    <a:lnTo>
                      <a:pt x="643" y="535"/>
                    </a:lnTo>
                    <a:lnTo>
                      <a:pt x="643" y="526"/>
                    </a:lnTo>
                    <a:lnTo>
                      <a:pt x="643" y="526"/>
                    </a:lnTo>
                    <a:lnTo>
                      <a:pt x="643" y="526"/>
                    </a:lnTo>
                    <a:lnTo>
                      <a:pt x="643" y="526"/>
                    </a:lnTo>
                    <a:lnTo>
                      <a:pt x="643" y="517"/>
                    </a:lnTo>
                    <a:lnTo>
                      <a:pt x="643" y="517"/>
                    </a:lnTo>
                    <a:lnTo>
                      <a:pt x="643" y="517"/>
                    </a:lnTo>
                    <a:lnTo>
                      <a:pt x="634" y="517"/>
                    </a:lnTo>
                    <a:lnTo>
                      <a:pt x="634" y="517"/>
                    </a:lnTo>
                    <a:lnTo>
                      <a:pt x="634" y="509"/>
                    </a:lnTo>
                    <a:lnTo>
                      <a:pt x="634" y="509"/>
                    </a:lnTo>
                    <a:lnTo>
                      <a:pt x="634" y="509"/>
                    </a:lnTo>
                    <a:lnTo>
                      <a:pt x="634" y="509"/>
                    </a:lnTo>
                    <a:lnTo>
                      <a:pt x="625" y="509"/>
                    </a:lnTo>
                    <a:lnTo>
                      <a:pt x="625" y="500"/>
                    </a:lnTo>
                    <a:lnTo>
                      <a:pt x="625" y="500"/>
                    </a:lnTo>
                    <a:lnTo>
                      <a:pt x="625" y="500"/>
                    </a:lnTo>
                    <a:lnTo>
                      <a:pt x="616" y="500"/>
                    </a:lnTo>
                    <a:lnTo>
                      <a:pt x="616" y="500"/>
                    </a:lnTo>
                    <a:lnTo>
                      <a:pt x="616" y="491"/>
                    </a:lnTo>
                    <a:lnTo>
                      <a:pt x="616" y="491"/>
                    </a:lnTo>
                    <a:lnTo>
                      <a:pt x="616" y="491"/>
                    </a:lnTo>
                    <a:lnTo>
                      <a:pt x="607" y="491"/>
                    </a:lnTo>
                    <a:lnTo>
                      <a:pt x="607" y="491"/>
                    </a:lnTo>
                    <a:lnTo>
                      <a:pt x="607" y="491"/>
                    </a:lnTo>
                    <a:lnTo>
                      <a:pt x="607" y="491"/>
                    </a:lnTo>
                    <a:lnTo>
                      <a:pt x="607" y="482"/>
                    </a:lnTo>
                    <a:lnTo>
                      <a:pt x="598" y="482"/>
                    </a:lnTo>
                    <a:lnTo>
                      <a:pt x="598" y="482"/>
                    </a:lnTo>
                    <a:lnTo>
                      <a:pt x="598" y="482"/>
                    </a:lnTo>
                    <a:lnTo>
                      <a:pt x="598" y="482"/>
                    </a:lnTo>
                    <a:lnTo>
                      <a:pt x="598" y="482"/>
                    </a:lnTo>
                    <a:lnTo>
                      <a:pt x="598" y="473"/>
                    </a:lnTo>
                    <a:lnTo>
                      <a:pt x="598" y="473"/>
                    </a:lnTo>
                    <a:lnTo>
                      <a:pt x="598" y="473"/>
                    </a:lnTo>
                    <a:lnTo>
                      <a:pt x="598" y="473"/>
                    </a:lnTo>
                    <a:lnTo>
                      <a:pt x="598" y="473"/>
                    </a:lnTo>
                    <a:lnTo>
                      <a:pt x="598" y="464"/>
                    </a:lnTo>
                    <a:lnTo>
                      <a:pt x="598" y="464"/>
                    </a:lnTo>
                    <a:lnTo>
                      <a:pt x="598" y="464"/>
                    </a:lnTo>
                    <a:lnTo>
                      <a:pt x="598" y="464"/>
                    </a:lnTo>
                    <a:lnTo>
                      <a:pt x="607" y="455"/>
                    </a:lnTo>
                    <a:lnTo>
                      <a:pt x="607" y="455"/>
                    </a:lnTo>
                    <a:lnTo>
                      <a:pt x="607" y="455"/>
                    </a:lnTo>
                    <a:lnTo>
                      <a:pt x="598" y="455"/>
                    </a:lnTo>
                    <a:lnTo>
                      <a:pt x="598" y="455"/>
                    </a:lnTo>
                    <a:lnTo>
                      <a:pt x="598" y="455"/>
                    </a:lnTo>
                    <a:lnTo>
                      <a:pt x="589" y="455"/>
                    </a:lnTo>
                    <a:lnTo>
                      <a:pt x="589" y="446"/>
                    </a:lnTo>
                    <a:lnTo>
                      <a:pt x="589" y="446"/>
                    </a:lnTo>
                    <a:lnTo>
                      <a:pt x="589" y="446"/>
                    </a:lnTo>
                    <a:lnTo>
                      <a:pt x="589" y="446"/>
                    </a:lnTo>
                    <a:lnTo>
                      <a:pt x="589" y="446"/>
                    </a:lnTo>
                    <a:lnTo>
                      <a:pt x="589" y="437"/>
                    </a:lnTo>
                    <a:lnTo>
                      <a:pt x="589" y="437"/>
                    </a:lnTo>
                    <a:lnTo>
                      <a:pt x="589" y="437"/>
                    </a:lnTo>
                    <a:lnTo>
                      <a:pt x="598" y="437"/>
                    </a:lnTo>
                    <a:lnTo>
                      <a:pt x="598" y="437"/>
                    </a:lnTo>
                    <a:lnTo>
                      <a:pt x="607" y="437"/>
                    </a:lnTo>
                    <a:lnTo>
                      <a:pt x="607" y="428"/>
                    </a:lnTo>
                    <a:lnTo>
                      <a:pt x="607" y="428"/>
                    </a:lnTo>
                    <a:lnTo>
                      <a:pt x="616" y="428"/>
                    </a:lnTo>
                    <a:lnTo>
                      <a:pt x="616" y="428"/>
                    </a:lnTo>
                    <a:lnTo>
                      <a:pt x="625" y="428"/>
                    </a:lnTo>
                    <a:lnTo>
                      <a:pt x="625" y="428"/>
                    </a:lnTo>
                    <a:lnTo>
                      <a:pt x="625" y="428"/>
                    </a:lnTo>
                    <a:lnTo>
                      <a:pt x="634" y="428"/>
                    </a:lnTo>
                    <a:lnTo>
                      <a:pt x="634" y="419"/>
                    </a:lnTo>
                    <a:lnTo>
                      <a:pt x="634" y="419"/>
                    </a:lnTo>
                    <a:lnTo>
                      <a:pt x="634" y="419"/>
                    </a:lnTo>
                    <a:lnTo>
                      <a:pt x="634" y="419"/>
                    </a:lnTo>
                    <a:lnTo>
                      <a:pt x="634" y="419"/>
                    </a:lnTo>
                    <a:lnTo>
                      <a:pt x="634" y="419"/>
                    </a:lnTo>
                    <a:lnTo>
                      <a:pt x="643" y="410"/>
                    </a:lnTo>
                    <a:lnTo>
                      <a:pt x="643" y="410"/>
                    </a:lnTo>
                    <a:lnTo>
                      <a:pt x="643" y="410"/>
                    </a:lnTo>
                    <a:lnTo>
                      <a:pt x="643" y="410"/>
                    </a:lnTo>
                    <a:lnTo>
                      <a:pt x="643" y="410"/>
                    </a:lnTo>
                    <a:lnTo>
                      <a:pt x="643" y="410"/>
                    </a:lnTo>
                    <a:lnTo>
                      <a:pt x="652" y="410"/>
                    </a:lnTo>
                    <a:lnTo>
                      <a:pt x="652" y="410"/>
                    </a:lnTo>
                    <a:lnTo>
                      <a:pt x="652" y="410"/>
                    </a:lnTo>
                    <a:lnTo>
                      <a:pt x="652" y="410"/>
                    </a:lnTo>
                    <a:lnTo>
                      <a:pt x="661" y="410"/>
                    </a:lnTo>
                    <a:lnTo>
                      <a:pt x="661" y="401"/>
                    </a:lnTo>
                    <a:lnTo>
                      <a:pt x="661" y="401"/>
                    </a:lnTo>
                    <a:lnTo>
                      <a:pt x="661" y="401"/>
                    </a:lnTo>
                    <a:lnTo>
                      <a:pt x="661" y="401"/>
                    </a:lnTo>
                    <a:lnTo>
                      <a:pt x="661" y="392"/>
                    </a:lnTo>
                    <a:lnTo>
                      <a:pt x="661" y="392"/>
                    </a:lnTo>
                    <a:lnTo>
                      <a:pt x="661" y="392"/>
                    </a:lnTo>
                    <a:lnTo>
                      <a:pt x="661" y="392"/>
                    </a:lnTo>
                    <a:lnTo>
                      <a:pt x="661" y="384"/>
                    </a:lnTo>
                    <a:lnTo>
                      <a:pt x="661" y="384"/>
                    </a:lnTo>
                    <a:lnTo>
                      <a:pt x="661" y="384"/>
                    </a:lnTo>
                    <a:lnTo>
                      <a:pt x="661" y="375"/>
                    </a:lnTo>
                    <a:lnTo>
                      <a:pt x="661" y="375"/>
                    </a:lnTo>
                    <a:lnTo>
                      <a:pt x="661" y="366"/>
                    </a:lnTo>
                    <a:lnTo>
                      <a:pt x="661" y="366"/>
                    </a:lnTo>
                    <a:lnTo>
                      <a:pt x="661" y="366"/>
                    </a:lnTo>
                    <a:lnTo>
                      <a:pt x="652" y="357"/>
                    </a:lnTo>
                    <a:lnTo>
                      <a:pt x="652" y="357"/>
                    </a:lnTo>
                    <a:lnTo>
                      <a:pt x="652" y="357"/>
                    </a:lnTo>
                    <a:lnTo>
                      <a:pt x="652" y="357"/>
                    </a:lnTo>
                    <a:lnTo>
                      <a:pt x="652" y="348"/>
                    </a:lnTo>
                    <a:lnTo>
                      <a:pt x="652" y="348"/>
                    </a:lnTo>
                    <a:lnTo>
                      <a:pt x="643" y="348"/>
                    </a:lnTo>
                    <a:lnTo>
                      <a:pt x="643" y="348"/>
                    </a:lnTo>
                    <a:lnTo>
                      <a:pt x="652" y="339"/>
                    </a:lnTo>
                    <a:lnTo>
                      <a:pt x="652" y="339"/>
                    </a:lnTo>
                    <a:lnTo>
                      <a:pt x="652" y="339"/>
                    </a:lnTo>
                    <a:lnTo>
                      <a:pt x="652" y="339"/>
                    </a:lnTo>
                    <a:lnTo>
                      <a:pt x="652" y="339"/>
                    </a:lnTo>
                    <a:lnTo>
                      <a:pt x="661" y="339"/>
                    </a:lnTo>
                    <a:lnTo>
                      <a:pt x="661" y="339"/>
                    </a:lnTo>
                    <a:lnTo>
                      <a:pt x="661" y="339"/>
                    </a:lnTo>
                    <a:lnTo>
                      <a:pt x="669" y="339"/>
                    </a:lnTo>
                    <a:lnTo>
                      <a:pt x="669" y="339"/>
                    </a:lnTo>
                    <a:lnTo>
                      <a:pt x="669" y="339"/>
                    </a:lnTo>
                    <a:lnTo>
                      <a:pt x="669" y="339"/>
                    </a:lnTo>
                    <a:lnTo>
                      <a:pt x="678" y="339"/>
                    </a:lnTo>
                    <a:lnTo>
                      <a:pt x="678" y="339"/>
                    </a:lnTo>
                    <a:lnTo>
                      <a:pt x="678" y="339"/>
                    </a:lnTo>
                    <a:lnTo>
                      <a:pt x="678" y="339"/>
                    </a:lnTo>
                    <a:lnTo>
                      <a:pt x="678" y="348"/>
                    </a:lnTo>
                    <a:lnTo>
                      <a:pt x="678" y="348"/>
                    </a:lnTo>
                    <a:lnTo>
                      <a:pt x="678" y="348"/>
                    </a:lnTo>
                    <a:lnTo>
                      <a:pt x="678" y="348"/>
                    </a:lnTo>
                    <a:lnTo>
                      <a:pt x="678" y="348"/>
                    </a:lnTo>
                    <a:lnTo>
                      <a:pt x="678" y="357"/>
                    </a:lnTo>
                    <a:lnTo>
                      <a:pt x="678" y="357"/>
                    </a:lnTo>
                    <a:lnTo>
                      <a:pt x="687" y="357"/>
                    </a:lnTo>
                    <a:lnTo>
                      <a:pt x="696" y="357"/>
                    </a:lnTo>
                    <a:lnTo>
                      <a:pt x="705" y="357"/>
                    </a:lnTo>
                    <a:lnTo>
                      <a:pt x="723" y="357"/>
                    </a:lnTo>
                    <a:lnTo>
                      <a:pt x="741" y="357"/>
                    </a:lnTo>
                    <a:lnTo>
                      <a:pt x="759" y="357"/>
                    </a:lnTo>
                    <a:lnTo>
                      <a:pt x="768" y="357"/>
                    </a:lnTo>
                    <a:lnTo>
                      <a:pt x="786" y="357"/>
                    </a:lnTo>
                    <a:lnTo>
                      <a:pt x="794" y="357"/>
                    </a:lnTo>
                    <a:lnTo>
                      <a:pt x="794" y="348"/>
                    </a:lnTo>
                    <a:lnTo>
                      <a:pt x="794" y="348"/>
                    </a:lnTo>
                    <a:lnTo>
                      <a:pt x="794" y="348"/>
                    </a:lnTo>
                    <a:lnTo>
                      <a:pt x="794" y="348"/>
                    </a:lnTo>
                    <a:lnTo>
                      <a:pt x="794" y="348"/>
                    </a:lnTo>
                    <a:lnTo>
                      <a:pt x="794" y="348"/>
                    </a:lnTo>
                    <a:lnTo>
                      <a:pt x="786" y="348"/>
                    </a:lnTo>
                    <a:lnTo>
                      <a:pt x="794" y="339"/>
                    </a:lnTo>
                    <a:lnTo>
                      <a:pt x="794" y="339"/>
                    </a:lnTo>
                    <a:lnTo>
                      <a:pt x="803" y="339"/>
                    </a:lnTo>
                    <a:lnTo>
                      <a:pt x="803" y="330"/>
                    </a:lnTo>
                    <a:lnTo>
                      <a:pt x="812" y="330"/>
                    </a:lnTo>
                    <a:lnTo>
                      <a:pt x="821" y="321"/>
                    </a:lnTo>
                    <a:lnTo>
                      <a:pt x="830" y="321"/>
                    </a:lnTo>
                    <a:lnTo>
                      <a:pt x="830" y="312"/>
                    </a:lnTo>
                    <a:lnTo>
                      <a:pt x="830" y="303"/>
                    </a:lnTo>
                    <a:lnTo>
                      <a:pt x="821" y="303"/>
                    </a:lnTo>
                    <a:lnTo>
                      <a:pt x="821" y="303"/>
                    </a:lnTo>
                    <a:lnTo>
                      <a:pt x="812" y="303"/>
                    </a:lnTo>
                    <a:lnTo>
                      <a:pt x="803" y="303"/>
                    </a:lnTo>
                    <a:lnTo>
                      <a:pt x="794" y="303"/>
                    </a:lnTo>
                    <a:lnTo>
                      <a:pt x="786" y="303"/>
                    </a:lnTo>
                    <a:lnTo>
                      <a:pt x="777" y="303"/>
                    </a:lnTo>
                    <a:lnTo>
                      <a:pt x="777" y="303"/>
                    </a:lnTo>
                    <a:lnTo>
                      <a:pt x="777" y="294"/>
                    </a:lnTo>
                    <a:lnTo>
                      <a:pt x="777" y="294"/>
                    </a:lnTo>
                    <a:lnTo>
                      <a:pt x="786" y="285"/>
                    </a:lnTo>
                    <a:lnTo>
                      <a:pt x="794" y="285"/>
                    </a:lnTo>
                    <a:lnTo>
                      <a:pt x="794" y="276"/>
                    </a:lnTo>
                    <a:lnTo>
                      <a:pt x="803" y="276"/>
                    </a:lnTo>
                    <a:lnTo>
                      <a:pt x="812" y="276"/>
                    </a:lnTo>
                    <a:lnTo>
                      <a:pt x="812" y="267"/>
                    </a:lnTo>
                    <a:lnTo>
                      <a:pt x="803" y="259"/>
                    </a:lnTo>
                    <a:lnTo>
                      <a:pt x="803" y="259"/>
                    </a:lnTo>
                    <a:lnTo>
                      <a:pt x="794" y="259"/>
                    </a:lnTo>
                    <a:lnTo>
                      <a:pt x="786" y="259"/>
                    </a:lnTo>
                    <a:lnTo>
                      <a:pt x="777" y="259"/>
                    </a:lnTo>
                    <a:lnTo>
                      <a:pt x="768" y="259"/>
                    </a:lnTo>
                    <a:lnTo>
                      <a:pt x="768" y="259"/>
                    </a:lnTo>
                    <a:lnTo>
                      <a:pt x="759" y="259"/>
                    </a:lnTo>
                    <a:lnTo>
                      <a:pt x="759" y="250"/>
                    </a:lnTo>
                    <a:lnTo>
                      <a:pt x="759" y="250"/>
                    </a:lnTo>
                    <a:lnTo>
                      <a:pt x="759" y="250"/>
                    </a:lnTo>
                    <a:lnTo>
                      <a:pt x="768" y="250"/>
                    </a:lnTo>
                    <a:lnTo>
                      <a:pt x="768" y="250"/>
                    </a:lnTo>
                    <a:lnTo>
                      <a:pt x="768" y="250"/>
                    </a:lnTo>
                    <a:lnTo>
                      <a:pt x="777" y="241"/>
                    </a:lnTo>
                    <a:lnTo>
                      <a:pt x="777" y="241"/>
                    </a:lnTo>
                    <a:lnTo>
                      <a:pt x="777" y="241"/>
                    </a:lnTo>
                    <a:lnTo>
                      <a:pt x="777" y="232"/>
                    </a:lnTo>
                    <a:lnTo>
                      <a:pt x="768" y="232"/>
                    </a:lnTo>
                    <a:lnTo>
                      <a:pt x="768" y="232"/>
                    </a:lnTo>
                    <a:lnTo>
                      <a:pt x="768" y="232"/>
                    </a:lnTo>
                    <a:lnTo>
                      <a:pt x="768" y="223"/>
                    </a:lnTo>
                    <a:lnTo>
                      <a:pt x="759" y="223"/>
                    </a:lnTo>
                    <a:lnTo>
                      <a:pt x="759" y="214"/>
                    </a:lnTo>
                    <a:lnTo>
                      <a:pt x="759" y="214"/>
                    </a:lnTo>
                    <a:lnTo>
                      <a:pt x="759" y="205"/>
                    </a:lnTo>
                    <a:lnTo>
                      <a:pt x="759" y="205"/>
                    </a:lnTo>
                    <a:lnTo>
                      <a:pt x="750" y="196"/>
                    </a:lnTo>
                    <a:lnTo>
                      <a:pt x="750" y="187"/>
                    </a:lnTo>
                    <a:lnTo>
                      <a:pt x="750" y="187"/>
                    </a:lnTo>
                    <a:lnTo>
                      <a:pt x="750" y="178"/>
                    </a:lnTo>
                    <a:lnTo>
                      <a:pt x="750" y="178"/>
                    </a:lnTo>
                    <a:lnTo>
                      <a:pt x="750" y="178"/>
                    </a:lnTo>
                    <a:lnTo>
                      <a:pt x="759" y="169"/>
                    </a:lnTo>
                    <a:lnTo>
                      <a:pt x="759" y="169"/>
                    </a:lnTo>
                    <a:lnTo>
                      <a:pt x="759" y="169"/>
                    </a:lnTo>
                    <a:lnTo>
                      <a:pt x="768" y="169"/>
                    </a:lnTo>
                    <a:lnTo>
                      <a:pt x="768" y="169"/>
                    </a:lnTo>
                    <a:lnTo>
                      <a:pt x="768" y="169"/>
                    </a:lnTo>
                    <a:lnTo>
                      <a:pt x="768" y="160"/>
                    </a:lnTo>
                    <a:lnTo>
                      <a:pt x="777" y="160"/>
                    </a:lnTo>
                    <a:lnTo>
                      <a:pt x="777" y="151"/>
                    </a:lnTo>
                    <a:lnTo>
                      <a:pt x="777" y="142"/>
                    </a:lnTo>
                    <a:lnTo>
                      <a:pt x="777" y="142"/>
                    </a:lnTo>
                    <a:lnTo>
                      <a:pt x="768" y="133"/>
                    </a:lnTo>
                    <a:lnTo>
                      <a:pt x="768" y="125"/>
                    </a:lnTo>
                    <a:lnTo>
                      <a:pt x="768" y="125"/>
                    </a:lnTo>
                    <a:lnTo>
                      <a:pt x="768" y="116"/>
                    </a:lnTo>
                    <a:lnTo>
                      <a:pt x="768" y="116"/>
                    </a:lnTo>
                    <a:lnTo>
                      <a:pt x="759" y="107"/>
                    </a:lnTo>
                    <a:lnTo>
                      <a:pt x="759" y="107"/>
                    </a:lnTo>
                    <a:lnTo>
                      <a:pt x="759" y="107"/>
                    </a:lnTo>
                    <a:lnTo>
                      <a:pt x="750" y="107"/>
                    </a:lnTo>
                    <a:lnTo>
                      <a:pt x="750" y="98"/>
                    </a:lnTo>
                    <a:lnTo>
                      <a:pt x="750" y="98"/>
                    </a:lnTo>
                    <a:lnTo>
                      <a:pt x="741" y="98"/>
                    </a:lnTo>
                    <a:lnTo>
                      <a:pt x="741" y="98"/>
                    </a:lnTo>
                    <a:lnTo>
                      <a:pt x="741" y="107"/>
                    </a:lnTo>
                    <a:lnTo>
                      <a:pt x="741" y="107"/>
                    </a:lnTo>
                    <a:lnTo>
                      <a:pt x="741" y="107"/>
                    </a:lnTo>
                    <a:lnTo>
                      <a:pt x="732" y="107"/>
                    </a:lnTo>
                    <a:lnTo>
                      <a:pt x="732" y="116"/>
                    </a:lnTo>
                    <a:lnTo>
                      <a:pt x="732" y="116"/>
                    </a:lnTo>
                    <a:lnTo>
                      <a:pt x="732" y="116"/>
                    </a:lnTo>
                    <a:lnTo>
                      <a:pt x="732" y="116"/>
                    </a:lnTo>
                    <a:lnTo>
                      <a:pt x="723" y="116"/>
                    </a:lnTo>
                    <a:lnTo>
                      <a:pt x="723" y="116"/>
                    </a:lnTo>
                    <a:lnTo>
                      <a:pt x="723" y="125"/>
                    </a:lnTo>
                    <a:lnTo>
                      <a:pt x="723" y="125"/>
                    </a:lnTo>
                    <a:lnTo>
                      <a:pt x="714" y="116"/>
                    </a:lnTo>
                    <a:lnTo>
                      <a:pt x="714" y="116"/>
                    </a:lnTo>
                    <a:lnTo>
                      <a:pt x="714" y="116"/>
                    </a:lnTo>
                    <a:lnTo>
                      <a:pt x="705" y="116"/>
                    </a:lnTo>
                    <a:lnTo>
                      <a:pt x="705" y="107"/>
                    </a:lnTo>
                    <a:lnTo>
                      <a:pt x="705" y="107"/>
                    </a:lnTo>
                    <a:lnTo>
                      <a:pt x="705" y="98"/>
                    </a:lnTo>
                    <a:lnTo>
                      <a:pt x="705" y="98"/>
                    </a:lnTo>
                    <a:lnTo>
                      <a:pt x="705" y="89"/>
                    </a:lnTo>
                    <a:lnTo>
                      <a:pt x="696" y="89"/>
                    </a:lnTo>
                    <a:lnTo>
                      <a:pt x="696" y="89"/>
                    </a:lnTo>
                    <a:lnTo>
                      <a:pt x="696" y="89"/>
                    </a:lnTo>
                    <a:lnTo>
                      <a:pt x="696" y="89"/>
                    </a:lnTo>
                    <a:lnTo>
                      <a:pt x="696" y="89"/>
                    </a:lnTo>
                    <a:lnTo>
                      <a:pt x="687" y="89"/>
                    </a:lnTo>
                    <a:lnTo>
                      <a:pt x="687" y="89"/>
                    </a:lnTo>
                    <a:lnTo>
                      <a:pt x="687" y="89"/>
                    </a:lnTo>
                    <a:lnTo>
                      <a:pt x="687" y="89"/>
                    </a:lnTo>
                    <a:lnTo>
                      <a:pt x="678" y="89"/>
                    </a:lnTo>
                    <a:lnTo>
                      <a:pt x="678" y="89"/>
                    </a:lnTo>
                    <a:lnTo>
                      <a:pt x="678" y="89"/>
                    </a:lnTo>
                    <a:lnTo>
                      <a:pt x="669" y="89"/>
                    </a:lnTo>
                    <a:lnTo>
                      <a:pt x="669" y="89"/>
                    </a:lnTo>
                    <a:lnTo>
                      <a:pt x="661" y="89"/>
                    </a:lnTo>
                    <a:lnTo>
                      <a:pt x="661" y="89"/>
                    </a:lnTo>
                    <a:lnTo>
                      <a:pt x="652" y="89"/>
                    </a:lnTo>
                    <a:lnTo>
                      <a:pt x="652" y="89"/>
                    </a:lnTo>
                    <a:lnTo>
                      <a:pt x="643" y="89"/>
                    </a:lnTo>
                    <a:lnTo>
                      <a:pt x="643" y="89"/>
                    </a:lnTo>
                    <a:lnTo>
                      <a:pt x="643" y="89"/>
                    </a:lnTo>
                    <a:lnTo>
                      <a:pt x="634" y="89"/>
                    </a:lnTo>
                    <a:lnTo>
                      <a:pt x="634" y="89"/>
                    </a:lnTo>
                    <a:lnTo>
                      <a:pt x="634" y="89"/>
                    </a:lnTo>
                    <a:lnTo>
                      <a:pt x="625" y="89"/>
                    </a:lnTo>
                    <a:lnTo>
                      <a:pt x="625" y="80"/>
                    </a:lnTo>
                    <a:lnTo>
                      <a:pt x="625" y="80"/>
                    </a:lnTo>
                    <a:lnTo>
                      <a:pt x="616" y="80"/>
                    </a:lnTo>
                    <a:lnTo>
                      <a:pt x="616" y="80"/>
                    </a:lnTo>
                    <a:lnTo>
                      <a:pt x="616" y="71"/>
                    </a:lnTo>
                    <a:lnTo>
                      <a:pt x="607" y="71"/>
                    </a:lnTo>
                    <a:lnTo>
                      <a:pt x="607" y="71"/>
                    </a:lnTo>
                    <a:lnTo>
                      <a:pt x="607" y="62"/>
                    </a:lnTo>
                    <a:lnTo>
                      <a:pt x="598" y="62"/>
                    </a:lnTo>
                    <a:lnTo>
                      <a:pt x="598" y="62"/>
                    </a:lnTo>
                    <a:lnTo>
                      <a:pt x="589" y="62"/>
                    </a:lnTo>
                    <a:lnTo>
                      <a:pt x="589" y="62"/>
                    </a:lnTo>
                    <a:lnTo>
                      <a:pt x="580" y="62"/>
                    </a:lnTo>
                    <a:lnTo>
                      <a:pt x="571" y="62"/>
                    </a:lnTo>
                    <a:lnTo>
                      <a:pt x="571" y="62"/>
                    </a:lnTo>
                    <a:lnTo>
                      <a:pt x="562" y="62"/>
                    </a:lnTo>
                    <a:lnTo>
                      <a:pt x="562" y="53"/>
                    </a:lnTo>
                    <a:lnTo>
                      <a:pt x="553" y="53"/>
                    </a:lnTo>
                    <a:lnTo>
                      <a:pt x="553" y="53"/>
                    </a:lnTo>
                    <a:lnTo>
                      <a:pt x="553" y="44"/>
                    </a:lnTo>
                    <a:lnTo>
                      <a:pt x="553" y="44"/>
                    </a:lnTo>
                    <a:lnTo>
                      <a:pt x="553" y="35"/>
                    </a:lnTo>
                    <a:lnTo>
                      <a:pt x="544" y="26"/>
                    </a:lnTo>
                    <a:lnTo>
                      <a:pt x="544" y="26"/>
                    </a:lnTo>
                    <a:lnTo>
                      <a:pt x="544" y="26"/>
                    </a:lnTo>
                    <a:lnTo>
                      <a:pt x="535" y="17"/>
                    </a:lnTo>
                    <a:lnTo>
                      <a:pt x="527" y="17"/>
                    </a:lnTo>
                    <a:lnTo>
                      <a:pt x="518" y="17"/>
                    </a:lnTo>
                    <a:lnTo>
                      <a:pt x="509" y="17"/>
                    </a:lnTo>
                    <a:lnTo>
                      <a:pt x="500" y="17"/>
                    </a:lnTo>
                    <a:lnTo>
                      <a:pt x="491" y="17"/>
                    </a:lnTo>
                    <a:lnTo>
                      <a:pt x="482" y="17"/>
                    </a:lnTo>
                    <a:lnTo>
                      <a:pt x="482" y="17"/>
                    </a:lnTo>
                    <a:lnTo>
                      <a:pt x="473" y="17"/>
                    </a:lnTo>
                    <a:lnTo>
                      <a:pt x="464" y="17"/>
                    </a:lnTo>
                    <a:lnTo>
                      <a:pt x="455" y="17"/>
                    </a:lnTo>
                    <a:lnTo>
                      <a:pt x="446" y="17"/>
                    </a:lnTo>
                    <a:lnTo>
                      <a:pt x="446" y="17"/>
                    </a:lnTo>
                    <a:lnTo>
                      <a:pt x="437" y="17"/>
                    </a:lnTo>
                    <a:lnTo>
                      <a:pt x="428" y="17"/>
                    </a:lnTo>
                    <a:lnTo>
                      <a:pt x="428" y="8"/>
                    </a:lnTo>
                    <a:lnTo>
                      <a:pt x="419" y="8"/>
                    </a:lnTo>
                    <a:lnTo>
                      <a:pt x="419" y="8"/>
                    </a:lnTo>
                    <a:lnTo>
                      <a:pt x="419" y="8"/>
                    </a:lnTo>
                    <a:lnTo>
                      <a:pt x="419" y="8"/>
                    </a:lnTo>
                    <a:lnTo>
                      <a:pt x="410" y="0"/>
                    </a:lnTo>
                    <a:lnTo>
                      <a:pt x="410" y="0"/>
                    </a:lnTo>
                    <a:lnTo>
                      <a:pt x="410" y="0"/>
                    </a:lnTo>
                    <a:lnTo>
                      <a:pt x="410" y="0"/>
                    </a:lnTo>
                    <a:lnTo>
                      <a:pt x="410" y="0"/>
                    </a:lnTo>
                    <a:lnTo>
                      <a:pt x="401" y="0"/>
                    </a:lnTo>
                    <a:lnTo>
                      <a:pt x="401" y="8"/>
                    </a:lnTo>
                    <a:lnTo>
                      <a:pt x="401" y="8"/>
                    </a:lnTo>
                    <a:lnTo>
                      <a:pt x="401" y="8"/>
                    </a:lnTo>
                    <a:lnTo>
                      <a:pt x="401" y="17"/>
                    </a:lnTo>
                    <a:lnTo>
                      <a:pt x="393" y="17"/>
                    </a:lnTo>
                    <a:lnTo>
                      <a:pt x="393" y="17"/>
                    </a:lnTo>
                    <a:lnTo>
                      <a:pt x="393" y="17"/>
                    </a:lnTo>
                    <a:lnTo>
                      <a:pt x="393" y="17"/>
                    </a:lnTo>
                    <a:lnTo>
                      <a:pt x="393" y="17"/>
                    </a:lnTo>
                    <a:lnTo>
                      <a:pt x="393" y="17"/>
                    </a:lnTo>
                    <a:lnTo>
                      <a:pt x="384" y="17"/>
                    </a:lnTo>
                    <a:lnTo>
                      <a:pt x="384" y="17"/>
                    </a:lnTo>
                    <a:lnTo>
                      <a:pt x="384" y="17"/>
                    </a:lnTo>
                    <a:lnTo>
                      <a:pt x="384" y="17"/>
                    </a:lnTo>
                    <a:lnTo>
                      <a:pt x="384" y="17"/>
                    </a:lnTo>
                    <a:lnTo>
                      <a:pt x="375" y="17"/>
                    </a:lnTo>
                    <a:lnTo>
                      <a:pt x="375" y="17"/>
                    </a:lnTo>
                    <a:lnTo>
                      <a:pt x="375" y="17"/>
                    </a:lnTo>
                    <a:lnTo>
                      <a:pt x="375" y="17"/>
                    </a:lnTo>
                    <a:lnTo>
                      <a:pt x="375" y="17"/>
                    </a:lnTo>
                    <a:lnTo>
                      <a:pt x="375" y="26"/>
                    </a:lnTo>
                    <a:lnTo>
                      <a:pt x="375" y="26"/>
                    </a:lnTo>
                    <a:lnTo>
                      <a:pt x="375" y="26"/>
                    </a:lnTo>
                    <a:lnTo>
                      <a:pt x="375" y="26"/>
                    </a:lnTo>
                    <a:lnTo>
                      <a:pt x="375" y="26"/>
                    </a:lnTo>
                    <a:lnTo>
                      <a:pt x="384" y="26"/>
                    </a:lnTo>
                    <a:lnTo>
                      <a:pt x="384" y="26"/>
                    </a:lnTo>
                    <a:lnTo>
                      <a:pt x="384" y="26"/>
                    </a:lnTo>
                    <a:lnTo>
                      <a:pt x="384" y="26"/>
                    </a:lnTo>
                    <a:lnTo>
                      <a:pt x="393" y="35"/>
                    </a:lnTo>
                    <a:lnTo>
                      <a:pt x="393" y="35"/>
                    </a:lnTo>
                    <a:lnTo>
                      <a:pt x="393" y="35"/>
                    </a:lnTo>
                    <a:lnTo>
                      <a:pt x="393" y="35"/>
                    </a:lnTo>
                    <a:lnTo>
                      <a:pt x="393" y="35"/>
                    </a:lnTo>
                    <a:lnTo>
                      <a:pt x="393" y="35"/>
                    </a:lnTo>
                    <a:lnTo>
                      <a:pt x="393" y="35"/>
                    </a:lnTo>
                    <a:lnTo>
                      <a:pt x="393" y="44"/>
                    </a:lnTo>
                    <a:lnTo>
                      <a:pt x="393" y="44"/>
                    </a:lnTo>
                    <a:lnTo>
                      <a:pt x="401" y="44"/>
                    </a:lnTo>
                    <a:lnTo>
                      <a:pt x="401" y="44"/>
                    </a:lnTo>
                    <a:lnTo>
                      <a:pt x="401" y="44"/>
                    </a:lnTo>
                    <a:lnTo>
                      <a:pt x="410" y="44"/>
                    </a:lnTo>
                    <a:lnTo>
                      <a:pt x="410" y="44"/>
                    </a:lnTo>
                    <a:lnTo>
                      <a:pt x="410" y="44"/>
                    </a:lnTo>
                    <a:lnTo>
                      <a:pt x="419" y="44"/>
                    </a:lnTo>
                    <a:lnTo>
                      <a:pt x="419" y="44"/>
                    </a:lnTo>
                    <a:lnTo>
                      <a:pt x="419" y="44"/>
                    </a:lnTo>
                    <a:lnTo>
                      <a:pt x="419" y="44"/>
                    </a:lnTo>
                    <a:lnTo>
                      <a:pt x="419" y="53"/>
                    </a:lnTo>
                    <a:lnTo>
                      <a:pt x="428" y="53"/>
                    </a:lnTo>
                    <a:lnTo>
                      <a:pt x="428" y="53"/>
                    </a:lnTo>
                    <a:lnTo>
                      <a:pt x="428" y="53"/>
                    </a:lnTo>
                    <a:lnTo>
                      <a:pt x="428" y="53"/>
                    </a:lnTo>
                    <a:lnTo>
                      <a:pt x="428" y="53"/>
                    </a:lnTo>
                    <a:lnTo>
                      <a:pt x="428" y="53"/>
                    </a:lnTo>
                    <a:lnTo>
                      <a:pt x="428" y="53"/>
                    </a:lnTo>
                    <a:lnTo>
                      <a:pt x="428" y="53"/>
                    </a:lnTo>
                    <a:lnTo>
                      <a:pt x="428" y="53"/>
                    </a:lnTo>
                    <a:lnTo>
                      <a:pt x="428" y="62"/>
                    </a:lnTo>
                    <a:lnTo>
                      <a:pt x="428" y="62"/>
                    </a:lnTo>
                    <a:lnTo>
                      <a:pt x="428" y="62"/>
                    </a:lnTo>
                    <a:lnTo>
                      <a:pt x="428" y="62"/>
                    </a:lnTo>
                    <a:lnTo>
                      <a:pt x="428" y="62"/>
                    </a:lnTo>
                    <a:lnTo>
                      <a:pt x="428" y="62"/>
                    </a:lnTo>
                    <a:lnTo>
                      <a:pt x="428" y="62"/>
                    </a:lnTo>
                    <a:lnTo>
                      <a:pt x="419" y="62"/>
                    </a:lnTo>
                    <a:lnTo>
                      <a:pt x="419" y="62"/>
                    </a:lnTo>
                    <a:lnTo>
                      <a:pt x="419" y="62"/>
                    </a:lnTo>
                    <a:lnTo>
                      <a:pt x="419" y="62"/>
                    </a:lnTo>
                    <a:lnTo>
                      <a:pt x="419" y="62"/>
                    </a:lnTo>
                    <a:lnTo>
                      <a:pt x="410" y="62"/>
                    </a:lnTo>
                    <a:lnTo>
                      <a:pt x="410" y="62"/>
                    </a:lnTo>
                    <a:lnTo>
                      <a:pt x="410" y="62"/>
                    </a:lnTo>
                    <a:lnTo>
                      <a:pt x="410" y="62"/>
                    </a:lnTo>
                    <a:lnTo>
                      <a:pt x="410" y="62"/>
                    </a:lnTo>
                    <a:lnTo>
                      <a:pt x="401" y="62"/>
                    </a:lnTo>
                    <a:lnTo>
                      <a:pt x="401" y="62"/>
                    </a:lnTo>
                    <a:lnTo>
                      <a:pt x="401" y="62"/>
                    </a:lnTo>
                    <a:lnTo>
                      <a:pt x="401" y="62"/>
                    </a:lnTo>
                    <a:lnTo>
                      <a:pt x="401" y="62"/>
                    </a:lnTo>
                    <a:lnTo>
                      <a:pt x="401" y="62"/>
                    </a:lnTo>
                    <a:lnTo>
                      <a:pt x="401" y="71"/>
                    </a:lnTo>
                    <a:lnTo>
                      <a:pt x="401" y="71"/>
                    </a:lnTo>
                    <a:lnTo>
                      <a:pt x="401" y="71"/>
                    </a:lnTo>
                    <a:lnTo>
                      <a:pt x="401" y="80"/>
                    </a:lnTo>
                    <a:lnTo>
                      <a:pt x="401" y="80"/>
                    </a:lnTo>
                    <a:lnTo>
                      <a:pt x="401" y="80"/>
                    </a:lnTo>
                    <a:lnTo>
                      <a:pt x="401" y="80"/>
                    </a:lnTo>
                    <a:lnTo>
                      <a:pt x="401" y="89"/>
                    </a:lnTo>
                    <a:lnTo>
                      <a:pt x="401" y="89"/>
                    </a:lnTo>
                    <a:lnTo>
                      <a:pt x="401" y="89"/>
                    </a:lnTo>
                    <a:lnTo>
                      <a:pt x="401" y="89"/>
                    </a:lnTo>
                    <a:lnTo>
                      <a:pt x="401" y="98"/>
                    </a:lnTo>
                    <a:lnTo>
                      <a:pt x="401" y="98"/>
                    </a:lnTo>
                    <a:lnTo>
                      <a:pt x="401" y="98"/>
                    </a:lnTo>
                    <a:lnTo>
                      <a:pt x="401" y="98"/>
                    </a:lnTo>
                    <a:lnTo>
                      <a:pt x="401" y="98"/>
                    </a:lnTo>
                    <a:lnTo>
                      <a:pt x="401" y="107"/>
                    </a:lnTo>
                    <a:lnTo>
                      <a:pt x="401" y="107"/>
                    </a:lnTo>
                    <a:lnTo>
                      <a:pt x="401" y="107"/>
                    </a:lnTo>
                    <a:lnTo>
                      <a:pt x="393" y="107"/>
                    </a:lnTo>
                    <a:lnTo>
                      <a:pt x="393" y="107"/>
                    </a:lnTo>
                    <a:lnTo>
                      <a:pt x="393" y="107"/>
                    </a:lnTo>
                    <a:lnTo>
                      <a:pt x="393" y="107"/>
                    </a:lnTo>
                    <a:lnTo>
                      <a:pt x="384" y="107"/>
                    </a:lnTo>
                    <a:lnTo>
                      <a:pt x="384" y="107"/>
                    </a:lnTo>
                    <a:lnTo>
                      <a:pt x="384" y="107"/>
                    </a:lnTo>
                    <a:lnTo>
                      <a:pt x="384" y="107"/>
                    </a:lnTo>
                    <a:lnTo>
                      <a:pt x="375" y="107"/>
                    </a:lnTo>
                    <a:lnTo>
                      <a:pt x="375" y="107"/>
                    </a:lnTo>
                    <a:lnTo>
                      <a:pt x="375" y="107"/>
                    </a:lnTo>
                    <a:lnTo>
                      <a:pt x="375" y="107"/>
                    </a:lnTo>
                    <a:lnTo>
                      <a:pt x="366" y="107"/>
                    </a:lnTo>
                    <a:lnTo>
                      <a:pt x="366" y="107"/>
                    </a:lnTo>
                    <a:lnTo>
                      <a:pt x="366" y="107"/>
                    </a:lnTo>
                    <a:lnTo>
                      <a:pt x="366" y="107"/>
                    </a:lnTo>
                    <a:lnTo>
                      <a:pt x="357" y="107"/>
                    </a:lnTo>
                    <a:lnTo>
                      <a:pt x="357" y="107"/>
                    </a:lnTo>
                    <a:lnTo>
                      <a:pt x="357" y="107"/>
                    </a:lnTo>
                    <a:lnTo>
                      <a:pt x="357" y="107"/>
                    </a:lnTo>
                    <a:lnTo>
                      <a:pt x="357" y="107"/>
                    </a:lnTo>
                    <a:lnTo>
                      <a:pt x="357" y="107"/>
                    </a:lnTo>
                    <a:lnTo>
                      <a:pt x="357" y="116"/>
                    </a:lnTo>
                    <a:lnTo>
                      <a:pt x="357" y="116"/>
                    </a:lnTo>
                    <a:lnTo>
                      <a:pt x="357" y="116"/>
                    </a:lnTo>
                    <a:lnTo>
                      <a:pt x="357" y="116"/>
                    </a:lnTo>
                    <a:lnTo>
                      <a:pt x="357" y="116"/>
                    </a:lnTo>
                    <a:lnTo>
                      <a:pt x="357" y="125"/>
                    </a:lnTo>
                    <a:lnTo>
                      <a:pt x="357" y="125"/>
                    </a:lnTo>
                    <a:lnTo>
                      <a:pt x="357" y="125"/>
                    </a:lnTo>
                    <a:lnTo>
                      <a:pt x="357" y="125"/>
                    </a:lnTo>
                    <a:lnTo>
                      <a:pt x="357" y="125"/>
                    </a:lnTo>
                    <a:lnTo>
                      <a:pt x="357" y="133"/>
                    </a:lnTo>
                    <a:lnTo>
                      <a:pt x="366" y="133"/>
                    </a:lnTo>
                    <a:lnTo>
                      <a:pt x="366" y="133"/>
                    </a:lnTo>
                    <a:lnTo>
                      <a:pt x="366" y="133"/>
                    </a:lnTo>
                    <a:lnTo>
                      <a:pt x="366" y="133"/>
                    </a:lnTo>
                    <a:lnTo>
                      <a:pt x="375" y="133"/>
                    </a:lnTo>
                    <a:lnTo>
                      <a:pt x="375" y="133"/>
                    </a:lnTo>
                    <a:lnTo>
                      <a:pt x="375" y="133"/>
                    </a:lnTo>
                    <a:lnTo>
                      <a:pt x="384" y="133"/>
                    </a:lnTo>
                    <a:lnTo>
                      <a:pt x="384" y="133"/>
                    </a:lnTo>
                    <a:lnTo>
                      <a:pt x="384" y="133"/>
                    </a:lnTo>
                    <a:lnTo>
                      <a:pt x="384" y="133"/>
                    </a:lnTo>
                    <a:lnTo>
                      <a:pt x="384" y="133"/>
                    </a:lnTo>
                    <a:lnTo>
                      <a:pt x="393" y="133"/>
                    </a:lnTo>
                    <a:lnTo>
                      <a:pt x="393" y="133"/>
                    </a:lnTo>
                    <a:lnTo>
                      <a:pt x="393" y="133"/>
                    </a:lnTo>
                    <a:lnTo>
                      <a:pt x="393" y="133"/>
                    </a:lnTo>
                    <a:lnTo>
                      <a:pt x="393" y="133"/>
                    </a:lnTo>
                    <a:lnTo>
                      <a:pt x="393" y="133"/>
                    </a:lnTo>
                    <a:lnTo>
                      <a:pt x="393" y="133"/>
                    </a:lnTo>
                    <a:lnTo>
                      <a:pt x="393" y="142"/>
                    </a:lnTo>
                    <a:lnTo>
                      <a:pt x="393" y="142"/>
                    </a:lnTo>
                    <a:lnTo>
                      <a:pt x="393" y="142"/>
                    </a:lnTo>
                    <a:lnTo>
                      <a:pt x="384" y="142"/>
                    </a:lnTo>
                    <a:lnTo>
                      <a:pt x="384" y="142"/>
                    </a:lnTo>
                    <a:lnTo>
                      <a:pt x="384" y="142"/>
                    </a:lnTo>
                    <a:lnTo>
                      <a:pt x="384" y="142"/>
                    </a:lnTo>
                    <a:lnTo>
                      <a:pt x="384" y="142"/>
                    </a:lnTo>
                    <a:lnTo>
                      <a:pt x="384" y="142"/>
                    </a:lnTo>
                    <a:lnTo>
                      <a:pt x="384" y="142"/>
                    </a:lnTo>
                    <a:lnTo>
                      <a:pt x="384" y="151"/>
                    </a:lnTo>
                    <a:lnTo>
                      <a:pt x="384" y="151"/>
                    </a:lnTo>
                    <a:lnTo>
                      <a:pt x="384" y="151"/>
                    </a:lnTo>
                    <a:lnTo>
                      <a:pt x="384" y="151"/>
                    </a:lnTo>
                    <a:lnTo>
                      <a:pt x="375" y="151"/>
                    </a:lnTo>
                    <a:lnTo>
                      <a:pt x="375" y="151"/>
                    </a:lnTo>
                    <a:lnTo>
                      <a:pt x="375" y="160"/>
                    </a:lnTo>
                    <a:lnTo>
                      <a:pt x="375" y="160"/>
                    </a:lnTo>
                    <a:lnTo>
                      <a:pt x="366" y="160"/>
                    </a:lnTo>
                    <a:lnTo>
                      <a:pt x="366" y="160"/>
                    </a:lnTo>
                    <a:lnTo>
                      <a:pt x="366" y="160"/>
                    </a:lnTo>
                    <a:lnTo>
                      <a:pt x="366" y="169"/>
                    </a:lnTo>
                    <a:lnTo>
                      <a:pt x="357" y="169"/>
                    </a:lnTo>
                    <a:lnTo>
                      <a:pt x="357" y="169"/>
                    </a:lnTo>
                    <a:lnTo>
                      <a:pt x="357" y="169"/>
                    </a:lnTo>
                    <a:lnTo>
                      <a:pt x="357" y="169"/>
                    </a:lnTo>
                    <a:lnTo>
                      <a:pt x="357" y="169"/>
                    </a:lnTo>
                    <a:lnTo>
                      <a:pt x="348" y="169"/>
                    </a:lnTo>
                    <a:lnTo>
                      <a:pt x="348" y="169"/>
                    </a:lnTo>
                    <a:lnTo>
                      <a:pt x="348" y="169"/>
                    </a:lnTo>
                    <a:lnTo>
                      <a:pt x="348" y="169"/>
                    </a:lnTo>
                    <a:lnTo>
                      <a:pt x="339" y="169"/>
                    </a:lnTo>
                    <a:lnTo>
                      <a:pt x="339" y="169"/>
                    </a:lnTo>
                    <a:lnTo>
                      <a:pt x="339" y="169"/>
                    </a:lnTo>
                    <a:lnTo>
                      <a:pt x="330" y="169"/>
                    </a:lnTo>
                    <a:lnTo>
                      <a:pt x="330" y="169"/>
                    </a:lnTo>
                    <a:lnTo>
                      <a:pt x="330" y="169"/>
                    </a:lnTo>
                    <a:lnTo>
                      <a:pt x="330" y="169"/>
                    </a:lnTo>
                    <a:lnTo>
                      <a:pt x="321" y="169"/>
                    </a:lnTo>
                    <a:lnTo>
                      <a:pt x="321" y="169"/>
                    </a:lnTo>
                    <a:lnTo>
                      <a:pt x="321" y="169"/>
                    </a:lnTo>
                    <a:lnTo>
                      <a:pt x="321" y="178"/>
                    </a:lnTo>
                    <a:lnTo>
                      <a:pt x="312" y="178"/>
                    </a:lnTo>
                    <a:lnTo>
                      <a:pt x="312" y="178"/>
                    </a:lnTo>
                    <a:lnTo>
                      <a:pt x="312" y="178"/>
                    </a:lnTo>
                    <a:lnTo>
                      <a:pt x="312" y="178"/>
                    </a:lnTo>
                    <a:lnTo>
                      <a:pt x="303" y="178"/>
                    </a:lnTo>
                    <a:lnTo>
                      <a:pt x="303" y="178"/>
                    </a:lnTo>
                    <a:lnTo>
                      <a:pt x="303" y="178"/>
                    </a:lnTo>
                    <a:lnTo>
                      <a:pt x="303" y="187"/>
                    </a:lnTo>
                    <a:lnTo>
                      <a:pt x="294" y="187"/>
                    </a:lnTo>
                    <a:lnTo>
                      <a:pt x="294" y="187"/>
                    </a:lnTo>
                    <a:lnTo>
                      <a:pt x="294" y="187"/>
                    </a:lnTo>
                    <a:lnTo>
                      <a:pt x="294" y="187"/>
                    </a:lnTo>
                    <a:lnTo>
                      <a:pt x="294" y="187"/>
                    </a:lnTo>
                    <a:lnTo>
                      <a:pt x="285" y="187"/>
                    </a:lnTo>
                    <a:lnTo>
                      <a:pt x="285" y="187"/>
                    </a:lnTo>
                    <a:lnTo>
                      <a:pt x="285" y="187"/>
                    </a:lnTo>
                    <a:lnTo>
                      <a:pt x="285" y="187"/>
                    </a:lnTo>
                    <a:lnTo>
                      <a:pt x="285" y="187"/>
                    </a:lnTo>
                    <a:lnTo>
                      <a:pt x="276" y="187"/>
                    </a:lnTo>
                    <a:lnTo>
                      <a:pt x="276" y="187"/>
                    </a:lnTo>
                    <a:lnTo>
                      <a:pt x="276" y="187"/>
                    </a:lnTo>
                    <a:lnTo>
                      <a:pt x="276" y="187"/>
                    </a:lnTo>
                    <a:lnTo>
                      <a:pt x="276" y="187"/>
                    </a:lnTo>
                    <a:lnTo>
                      <a:pt x="276" y="187"/>
                    </a:lnTo>
                    <a:lnTo>
                      <a:pt x="276" y="187"/>
                    </a:lnTo>
                    <a:lnTo>
                      <a:pt x="276" y="187"/>
                    </a:lnTo>
                    <a:lnTo>
                      <a:pt x="267" y="178"/>
                    </a:lnTo>
                    <a:lnTo>
                      <a:pt x="267" y="178"/>
                    </a:lnTo>
                    <a:lnTo>
                      <a:pt x="267" y="178"/>
                    </a:lnTo>
                    <a:lnTo>
                      <a:pt x="267" y="178"/>
                    </a:lnTo>
                    <a:lnTo>
                      <a:pt x="267" y="178"/>
                    </a:lnTo>
                    <a:lnTo>
                      <a:pt x="267" y="169"/>
                    </a:lnTo>
                    <a:lnTo>
                      <a:pt x="267" y="169"/>
                    </a:lnTo>
                    <a:lnTo>
                      <a:pt x="267" y="169"/>
                    </a:lnTo>
                    <a:lnTo>
                      <a:pt x="267" y="169"/>
                    </a:lnTo>
                    <a:lnTo>
                      <a:pt x="259" y="169"/>
                    </a:lnTo>
                    <a:lnTo>
                      <a:pt x="259" y="160"/>
                    </a:lnTo>
                    <a:lnTo>
                      <a:pt x="259" y="160"/>
                    </a:lnTo>
                    <a:lnTo>
                      <a:pt x="259" y="160"/>
                    </a:lnTo>
                    <a:lnTo>
                      <a:pt x="259" y="160"/>
                    </a:lnTo>
                    <a:lnTo>
                      <a:pt x="259" y="160"/>
                    </a:lnTo>
                    <a:lnTo>
                      <a:pt x="259" y="160"/>
                    </a:lnTo>
                    <a:lnTo>
                      <a:pt x="250" y="160"/>
                    </a:lnTo>
                    <a:lnTo>
                      <a:pt x="250" y="160"/>
                    </a:lnTo>
                    <a:lnTo>
                      <a:pt x="250" y="160"/>
                    </a:lnTo>
                    <a:lnTo>
                      <a:pt x="250" y="160"/>
                    </a:lnTo>
                    <a:lnTo>
                      <a:pt x="241" y="160"/>
                    </a:lnTo>
                    <a:lnTo>
                      <a:pt x="241" y="160"/>
                    </a:lnTo>
                    <a:lnTo>
                      <a:pt x="241" y="160"/>
                    </a:lnTo>
                    <a:lnTo>
                      <a:pt x="232" y="160"/>
                    </a:lnTo>
                    <a:lnTo>
                      <a:pt x="232" y="160"/>
                    </a:lnTo>
                    <a:lnTo>
                      <a:pt x="232" y="160"/>
                    </a:lnTo>
                    <a:lnTo>
                      <a:pt x="232" y="160"/>
                    </a:lnTo>
                    <a:lnTo>
                      <a:pt x="223" y="160"/>
                    </a:lnTo>
                    <a:lnTo>
                      <a:pt x="223" y="160"/>
                    </a:lnTo>
                    <a:lnTo>
                      <a:pt x="223" y="160"/>
                    </a:lnTo>
                    <a:lnTo>
                      <a:pt x="223" y="169"/>
                    </a:lnTo>
                    <a:lnTo>
                      <a:pt x="223" y="169"/>
                    </a:lnTo>
                    <a:lnTo>
                      <a:pt x="223" y="169"/>
                    </a:lnTo>
                    <a:lnTo>
                      <a:pt x="223" y="169"/>
                    </a:lnTo>
                    <a:lnTo>
                      <a:pt x="214" y="169"/>
                    </a:lnTo>
                    <a:lnTo>
                      <a:pt x="214" y="169"/>
                    </a:lnTo>
                    <a:lnTo>
                      <a:pt x="214" y="169"/>
                    </a:lnTo>
                    <a:lnTo>
                      <a:pt x="214" y="169"/>
                    </a:lnTo>
                    <a:lnTo>
                      <a:pt x="205" y="169"/>
                    </a:lnTo>
                    <a:lnTo>
                      <a:pt x="205" y="169"/>
                    </a:lnTo>
                    <a:lnTo>
                      <a:pt x="205" y="169"/>
                    </a:lnTo>
                    <a:lnTo>
                      <a:pt x="196" y="169"/>
                    </a:lnTo>
                    <a:lnTo>
                      <a:pt x="196" y="169"/>
                    </a:lnTo>
                    <a:lnTo>
                      <a:pt x="196" y="169"/>
                    </a:lnTo>
                    <a:lnTo>
                      <a:pt x="196" y="169"/>
                    </a:lnTo>
                    <a:lnTo>
                      <a:pt x="187" y="169"/>
                    </a:lnTo>
                    <a:lnTo>
                      <a:pt x="187" y="169"/>
                    </a:lnTo>
                    <a:lnTo>
                      <a:pt x="187" y="169"/>
                    </a:lnTo>
                    <a:lnTo>
                      <a:pt x="187" y="169"/>
                    </a:lnTo>
                    <a:lnTo>
                      <a:pt x="187" y="178"/>
                    </a:lnTo>
                    <a:lnTo>
                      <a:pt x="187" y="178"/>
                    </a:lnTo>
                    <a:lnTo>
                      <a:pt x="187" y="178"/>
                    </a:lnTo>
                    <a:lnTo>
                      <a:pt x="187" y="178"/>
                    </a:lnTo>
                    <a:lnTo>
                      <a:pt x="187" y="187"/>
                    </a:lnTo>
                    <a:lnTo>
                      <a:pt x="187" y="187"/>
                    </a:lnTo>
                    <a:lnTo>
                      <a:pt x="187" y="187"/>
                    </a:lnTo>
                    <a:lnTo>
                      <a:pt x="178" y="196"/>
                    </a:lnTo>
                    <a:lnTo>
                      <a:pt x="178" y="196"/>
                    </a:lnTo>
                    <a:lnTo>
                      <a:pt x="178" y="196"/>
                    </a:lnTo>
                    <a:lnTo>
                      <a:pt x="178" y="196"/>
                    </a:lnTo>
                    <a:lnTo>
                      <a:pt x="178" y="196"/>
                    </a:lnTo>
                    <a:lnTo>
                      <a:pt x="178" y="196"/>
                    </a:lnTo>
                    <a:lnTo>
                      <a:pt x="178" y="205"/>
                    </a:lnTo>
                    <a:lnTo>
                      <a:pt x="178" y="205"/>
                    </a:lnTo>
                    <a:lnTo>
                      <a:pt x="178" y="205"/>
                    </a:lnTo>
                    <a:lnTo>
                      <a:pt x="169" y="205"/>
                    </a:lnTo>
                    <a:lnTo>
                      <a:pt x="169" y="205"/>
                    </a:lnTo>
                    <a:lnTo>
                      <a:pt x="169" y="205"/>
                    </a:lnTo>
                    <a:lnTo>
                      <a:pt x="169" y="214"/>
                    </a:lnTo>
                    <a:lnTo>
                      <a:pt x="169" y="214"/>
                    </a:lnTo>
                    <a:lnTo>
                      <a:pt x="169" y="214"/>
                    </a:lnTo>
                    <a:lnTo>
                      <a:pt x="169" y="214"/>
                    </a:lnTo>
                    <a:lnTo>
                      <a:pt x="169" y="223"/>
                    </a:lnTo>
                    <a:lnTo>
                      <a:pt x="169" y="223"/>
                    </a:lnTo>
                    <a:lnTo>
                      <a:pt x="169" y="223"/>
                    </a:lnTo>
                    <a:lnTo>
                      <a:pt x="169" y="232"/>
                    </a:lnTo>
                    <a:lnTo>
                      <a:pt x="169" y="232"/>
                    </a:lnTo>
                    <a:lnTo>
                      <a:pt x="169" y="241"/>
                    </a:lnTo>
                    <a:lnTo>
                      <a:pt x="169" y="241"/>
                    </a:lnTo>
                    <a:lnTo>
                      <a:pt x="169" y="250"/>
                    </a:lnTo>
                    <a:lnTo>
                      <a:pt x="169" y="250"/>
                    </a:lnTo>
                    <a:lnTo>
                      <a:pt x="169" y="259"/>
                    </a:lnTo>
                    <a:lnTo>
                      <a:pt x="169" y="259"/>
                    </a:lnTo>
                    <a:lnTo>
                      <a:pt x="169" y="259"/>
                    </a:lnTo>
                    <a:lnTo>
                      <a:pt x="169" y="267"/>
                    </a:lnTo>
                    <a:lnTo>
                      <a:pt x="178" y="267"/>
                    </a:lnTo>
                    <a:lnTo>
                      <a:pt x="178" y="267"/>
                    </a:lnTo>
                    <a:lnTo>
                      <a:pt x="178" y="267"/>
                    </a:lnTo>
                    <a:lnTo>
                      <a:pt x="178" y="267"/>
                    </a:lnTo>
                    <a:lnTo>
                      <a:pt x="178" y="276"/>
                    </a:lnTo>
                    <a:lnTo>
                      <a:pt x="178" y="276"/>
                    </a:lnTo>
                    <a:lnTo>
                      <a:pt x="178" y="285"/>
                    </a:lnTo>
                    <a:lnTo>
                      <a:pt x="178" y="285"/>
                    </a:lnTo>
                    <a:lnTo>
                      <a:pt x="178" y="285"/>
                    </a:lnTo>
                    <a:lnTo>
                      <a:pt x="178" y="294"/>
                    </a:lnTo>
                    <a:lnTo>
                      <a:pt x="178" y="294"/>
                    </a:lnTo>
                    <a:lnTo>
                      <a:pt x="178" y="303"/>
                    </a:lnTo>
                    <a:lnTo>
                      <a:pt x="178" y="303"/>
                    </a:lnTo>
                    <a:lnTo>
                      <a:pt x="178" y="303"/>
                    </a:lnTo>
                    <a:lnTo>
                      <a:pt x="178" y="312"/>
                    </a:lnTo>
                    <a:lnTo>
                      <a:pt x="178" y="312"/>
                    </a:lnTo>
                    <a:lnTo>
                      <a:pt x="178" y="321"/>
                    </a:lnTo>
                    <a:lnTo>
                      <a:pt x="178" y="321"/>
                    </a:lnTo>
                    <a:lnTo>
                      <a:pt x="178" y="330"/>
                    </a:lnTo>
                    <a:lnTo>
                      <a:pt x="178" y="330"/>
                    </a:lnTo>
                    <a:lnTo>
                      <a:pt x="178" y="330"/>
                    </a:lnTo>
                    <a:lnTo>
                      <a:pt x="169" y="339"/>
                    </a:lnTo>
                    <a:lnTo>
                      <a:pt x="169" y="339"/>
                    </a:lnTo>
                    <a:lnTo>
                      <a:pt x="169" y="339"/>
                    </a:lnTo>
                    <a:lnTo>
                      <a:pt x="169" y="339"/>
                    </a:lnTo>
                    <a:lnTo>
                      <a:pt x="160" y="339"/>
                    </a:lnTo>
                    <a:lnTo>
                      <a:pt x="160" y="339"/>
                    </a:lnTo>
                    <a:lnTo>
                      <a:pt x="160" y="330"/>
                    </a:lnTo>
                    <a:lnTo>
                      <a:pt x="160" y="330"/>
                    </a:lnTo>
                    <a:lnTo>
                      <a:pt x="151" y="330"/>
                    </a:lnTo>
                    <a:lnTo>
                      <a:pt x="151" y="330"/>
                    </a:lnTo>
                    <a:lnTo>
                      <a:pt x="151" y="330"/>
                    </a:lnTo>
                    <a:lnTo>
                      <a:pt x="142" y="330"/>
                    </a:lnTo>
                    <a:lnTo>
                      <a:pt x="142" y="330"/>
                    </a:lnTo>
                    <a:lnTo>
                      <a:pt x="142" y="330"/>
                    </a:lnTo>
                    <a:lnTo>
                      <a:pt x="142" y="330"/>
                    </a:lnTo>
                    <a:lnTo>
                      <a:pt x="134" y="339"/>
                    </a:lnTo>
                    <a:lnTo>
                      <a:pt x="134" y="339"/>
                    </a:lnTo>
                    <a:lnTo>
                      <a:pt x="134" y="339"/>
                    </a:lnTo>
                    <a:lnTo>
                      <a:pt x="134" y="339"/>
                    </a:lnTo>
                    <a:lnTo>
                      <a:pt x="134" y="348"/>
                    </a:lnTo>
                    <a:lnTo>
                      <a:pt x="134" y="348"/>
                    </a:lnTo>
                    <a:lnTo>
                      <a:pt x="134" y="348"/>
                    </a:lnTo>
                    <a:lnTo>
                      <a:pt x="134" y="348"/>
                    </a:lnTo>
                    <a:lnTo>
                      <a:pt x="134" y="357"/>
                    </a:lnTo>
                    <a:lnTo>
                      <a:pt x="134" y="357"/>
                    </a:lnTo>
                    <a:lnTo>
                      <a:pt x="134" y="357"/>
                    </a:lnTo>
                    <a:lnTo>
                      <a:pt x="134" y="366"/>
                    </a:lnTo>
                    <a:lnTo>
                      <a:pt x="134" y="366"/>
                    </a:lnTo>
                    <a:lnTo>
                      <a:pt x="134" y="375"/>
                    </a:lnTo>
                    <a:lnTo>
                      <a:pt x="134" y="375"/>
                    </a:lnTo>
                    <a:lnTo>
                      <a:pt x="134" y="375"/>
                    </a:lnTo>
                    <a:lnTo>
                      <a:pt x="134" y="384"/>
                    </a:lnTo>
                    <a:lnTo>
                      <a:pt x="134" y="384"/>
                    </a:lnTo>
                    <a:lnTo>
                      <a:pt x="134" y="392"/>
                    </a:lnTo>
                    <a:lnTo>
                      <a:pt x="134" y="392"/>
                    </a:lnTo>
                    <a:lnTo>
                      <a:pt x="142" y="401"/>
                    </a:lnTo>
                    <a:lnTo>
                      <a:pt x="142" y="401"/>
                    </a:lnTo>
                    <a:lnTo>
                      <a:pt x="142" y="401"/>
                    </a:lnTo>
                    <a:lnTo>
                      <a:pt x="142" y="410"/>
                    </a:lnTo>
                    <a:lnTo>
                      <a:pt x="142" y="410"/>
                    </a:lnTo>
                    <a:lnTo>
                      <a:pt x="134" y="410"/>
                    </a:lnTo>
                    <a:lnTo>
                      <a:pt x="134" y="410"/>
                    </a:lnTo>
                    <a:lnTo>
                      <a:pt x="134" y="419"/>
                    </a:lnTo>
                    <a:lnTo>
                      <a:pt x="134" y="419"/>
                    </a:lnTo>
                    <a:lnTo>
                      <a:pt x="134" y="419"/>
                    </a:lnTo>
                    <a:lnTo>
                      <a:pt x="134" y="419"/>
                    </a:lnTo>
                    <a:lnTo>
                      <a:pt x="134" y="419"/>
                    </a:lnTo>
                    <a:lnTo>
                      <a:pt x="134" y="419"/>
                    </a:lnTo>
                    <a:lnTo>
                      <a:pt x="125" y="419"/>
                    </a:lnTo>
                    <a:lnTo>
                      <a:pt x="125" y="419"/>
                    </a:lnTo>
                    <a:lnTo>
                      <a:pt x="125" y="419"/>
                    </a:lnTo>
                    <a:lnTo>
                      <a:pt x="125" y="419"/>
                    </a:lnTo>
                    <a:lnTo>
                      <a:pt x="116" y="419"/>
                    </a:lnTo>
                    <a:lnTo>
                      <a:pt x="116" y="419"/>
                    </a:lnTo>
                    <a:lnTo>
                      <a:pt x="116" y="419"/>
                    </a:lnTo>
                    <a:lnTo>
                      <a:pt x="116" y="428"/>
                    </a:lnTo>
                    <a:lnTo>
                      <a:pt x="116" y="428"/>
                    </a:lnTo>
                    <a:lnTo>
                      <a:pt x="116" y="428"/>
                    </a:lnTo>
                    <a:lnTo>
                      <a:pt x="116" y="428"/>
                    </a:lnTo>
                    <a:lnTo>
                      <a:pt x="116" y="428"/>
                    </a:lnTo>
                    <a:lnTo>
                      <a:pt x="107" y="428"/>
                    </a:lnTo>
                    <a:lnTo>
                      <a:pt x="107" y="428"/>
                    </a:lnTo>
                    <a:lnTo>
                      <a:pt x="107" y="437"/>
                    </a:lnTo>
                    <a:lnTo>
                      <a:pt x="107" y="437"/>
                    </a:lnTo>
                    <a:lnTo>
                      <a:pt x="107" y="437"/>
                    </a:lnTo>
                    <a:lnTo>
                      <a:pt x="107" y="437"/>
                    </a:lnTo>
                    <a:lnTo>
                      <a:pt x="107" y="437"/>
                    </a:lnTo>
                    <a:lnTo>
                      <a:pt x="107" y="437"/>
                    </a:lnTo>
                    <a:lnTo>
                      <a:pt x="98" y="437"/>
                    </a:lnTo>
                    <a:lnTo>
                      <a:pt x="98" y="437"/>
                    </a:lnTo>
                    <a:lnTo>
                      <a:pt x="98" y="437"/>
                    </a:lnTo>
                    <a:lnTo>
                      <a:pt x="98" y="437"/>
                    </a:lnTo>
                    <a:lnTo>
                      <a:pt x="98" y="437"/>
                    </a:lnTo>
                    <a:lnTo>
                      <a:pt x="98" y="446"/>
                    </a:lnTo>
                    <a:lnTo>
                      <a:pt x="98" y="446"/>
                    </a:lnTo>
                    <a:lnTo>
                      <a:pt x="89" y="455"/>
                    </a:lnTo>
                    <a:lnTo>
                      <a:pt x="89" y="455"/>
                    </a:lnTo>
                    <a:lnTo>
                      <a:pt x="89" y="455"/>
                    </a:lnTo>
                    <a:lnTo>
                      <a:pt x="89" y="464"/>
                    </a:lnTo>
                    <a:lnTo>
                      <a:pt x="89" y="464"/>
                    </a:lnTo>
                    <a:lnTo>
                      <a:pt x="89" y="464"/>
                    </a:lnTo>
                    <a:lnTo>
                      <a:pt x="89" y="473"/>
                    </a:lnTo>
                    <a:lnTo>
                      <a:pt x="89" y="473"/>
                    </a:lnTo>
                    <a:lnTo>
                      <a:pt x="89" y="473"/>
                    </a:lnTo>
                    <a:lnTo>
                      <a:pt x="89" y="482"/>
                    </a:lnTo>
                    <a:lnTo>
                      <a:pt x="89" y="482"/>
                    </a:lnTo>
                    <a:lnTo>
                      <a:pt x="89" y="482"/>
                    </a:lnTo>
                    <a:lnTo>
                      <a:pt x="89" y="491"/>
                    </a:lnTo>
                    <a:lnTo>
                      <a:pt x="89" y="491"/>
                    </a:lnTo>
                    <a:lnTo>
                      <a:pt x="89" y="491"/>
                    </a:lnTo>
                    <a:lnTo>
                      <a:pt x="89" y="491"/>
                    </a:lnTo>
                    <a:lnTo>
                      <a:pt x="89" y="500"/>
                    </a:lnTo>
                    <a:lnTo>
                      <a:pt x="80" y="500"/>
                    </a:lnTo>
                    <a:lnTo>
                      <a:pt x="80" y="500"/>
                    </a:lnTo>
                    <a:lnTo>
                      <a:pt x="80" y="500"/>
                    </a:lnTo>
                    <a:lnTo>
                      <a:pt x="80" y="500"/>
                    </a:lnTo>
                    <a:lnTo>
                      <a:pt x="80" y="500"/>
                    </a:lnTo>
                    <a:lnTo>
                      <a:pt x="71" y="500"/>
                    </a:lnTo>
                    <a:lnTo>
                      <a:pt x="71" y="500"/>
                    </a:lnTo>
                    <a:lnTo>
                      <a:pt x="71" y="500"/>
                    </a:lnTo>
                    <a:lnTo>
                      <a:pt x="62" y="500"/>
                    </a:lnTo>
                    <a:lnTo>
                      <a:pt x="62" y="500"/>
                    </a:lnTo>
                    <a:lnTo>
                      <a:pt x="53" y="500"/>
                    </a:lnTo>
                    <a:lnTo>
                      <a:pt x="53" y="500"/>
                    </a:lnTo>
                    <a:lnTo>
                      <a:pt x="53" y="500"/>
                    </a:lnTo>
                    <a:lnTo>
                      <a:pt x="53" y="500"/>
                    </a:lnTo>
                    <a:lnTo>
                      <a:pt x="44" y="500"/>
                    </a:lnTo>
                    <a:lnTo>
                      <a:pt x="44" y="500"/>
                    </a:lnTo>
                    <a:lnTo>
                      <a:pt x="44" y="500"/>
                    </a:lnTo>
                    <a:lnTo>
                      <a:pt x="44" y="500"/>
                    </a:lnTo>
                    <a:lnTo>
                      <a:pt x="44" y="491"/>
                    </a:lnTo>
                    <a:lnTo>
                      <a:pt x="35" y="491"/>
                    </a:lnTo>
                    <a:lnTo>
                      <a:pt x="35" y="491"/>
                    </a:lnTo>
                    <a:lnTo>
                      <a:pt x="35" y="491"/>
                    </a:lnTo>
                    <a:lnTo>
                      <a:pt x="26" y="491"/>
                    </a:lnTo>
                    <a:lnTo>
                      <a:pt x="26" y="491"/>
                    </a:lnTo>
                    <a:lnTo>
                      <a:pt x="26" y="491"/>
                    </a:lnTo>
                    <a:lnTo>
                      <a:pt x="17" y="491"/>
                    </a:lnTo>
                    <a:lnTo>
                      <a:pt x="17" y="491"/>
                    </a:lnTo>
                    <a:lnTo>
                      <a:pt x="17" y="491"/>
                    </a:lnTo>
                  </a:path>
                </a:pathLst>
              </a:custGeom>
              <a:solidFill>
                <a:schemeClr val="accent6">
                  <a:lumMod val="40000"/>
                  <a:lumOff val="60000"/>
                </a:schemeClr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31" name="Freeform 54">
                <a:extLst>
                  <a:ext uri="{FF2B5EF4-FFF2-40B4-BE49-F238E27FC236}">
                    <a16:creationId xmlns:a16="http://schemas.microsoft.com/office/drawing/2014/main" id="{00000000-0008-0000-0C00-00001F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203" y="4762"/>
                <a:ext cx="1467" cy="1653"/>
              </a:xfrm>
              <a:custGeom>
                <a:avLst/>
                <a:gdLst>
                  <a:gd name="T0" fmla="*/ 384 w 661"/>
                  <a:gd name="T1" fmla="*/ 197 h 697"/>
                  <a:gd name="T2" fmla="*/ 384 w 661"/>
                  <a:gd name="T3" fmla="*/ 179 h 697"/>
                  <a:gd name="T4" fmla="*/ 402 w 661"/>
                  <a:gd name="T5" fmla="*/ 161 h 697"/>
                  <a:gd name="T6" fmla="*/ 420 w 661"/>
                  <a:gd name="T7" fmla="*/ 134 h 697"/>
                  <a:gd name="T8" fmla="*/ 447 w 661"/>
                  <a:gd name="T9" fmla="*/ 81 h 697"/>
                  <a:gd name="T10" fmla="*/ 447 w 661"/>
                  <a:gd name="T11" fmla="*/ 36 h 697"/>
                  <a:gd name="T12" fmla="*/ 456 w 661"/>
                  <a:gd name="T13" fmla="*/ 9 h 697"/>
                  <a:gd name="T14" fmla="*/ 474 w 661"/>
                  <a:gd name="T15" fmla="*/ 18 h 697"/>
                  <a:gd name="T16" fmla="*/ 491 w 661"/>
                  <a:gd name="T17" fmla="*/ 36 h 697"/>
                  <a:gd name="T18" fmla="*/ 509 w 661"/>
                  <a:gd name="T19" fmla="*/ 63 h 697"/>
                  <a:gd name="T20" fmla="*/ 509 w 661"/>
                  <a:gd name="T21" fmla="*/ 90 h 697"/>
                  <a:gd name="T22" fmla="*/ 509 w 661"/>
                  <a:gd name="T23" fmla="*/ 107 h 697"/>
                  <a:gd name="T24" fmla="*/ 491 w 661"/>
                  <a:gd name="T25" fmla="*/ 116 h 697"/>
                  <a:gd name="T26" fmla="*/ 482 w 661"/>
                  <a:gd name="T27" fmla="*/ 134 h 697"/>
                  <a:gd name="T28" fmla="*/ 474 w 661"/>
                  <a:gd name="T29" fmla="*/ 179 h 697"/>
                  <a:gd name="T30" fmla="*/ 500 w 661"/>
                  <a:gd name="T31" fmla="*/ 197 h 697"/>
                  <a:gd name="T32" fmla="*/ 527 w 661"/>
                  <a:gd name="T33" fmla="*/ 206 h 697"/>
                  <a:gd name="T34" fmla="*/ 545 w 661"/>
                  <a:gd name="T35" fmla="*/ 232 h 697"/>
                  <a:gd name="T36" fmla="*/ 563 w 661"/>
                  <a:gd name="T37" fmla="*/ 241 h 697"/>
                  <a:gd name="T38" fmla="*/ 572 w 661"/>
                  <a:gd name="T39" fmla="*/ 286 h 697"/>
                  <a:gd name="T40" fmla="*/ 599 w 661"/>
                  <a:gd name="T41" fmla="*/ 304 h 697"/>
                  <a:gd name="T42" fmla="*/ 625 w 661"/>
                  <a:gd name="T43" fmla="*/ 313 h 697"/>
                  <a:gd name="T44" fmla="*/ 652 w 661"/>
                  <a:gd name="T45" fmla="*/ 322 h 697"/>
                  <a:gd name="T46" fmla="*/ 643 w 661"/>
                  <a:gd name="T47" fmla="*/ 348 h 697"/>
                  <a:gd name="T48" fmla="*/ 643 w 661"/>
                  <a:gd name="T49" fmla="*/ 384 h 697"/>
                  <a:gd name="T50" fmla="*/ 652 w 661"/>
                  <a:gd name="T51" fmla="*/ 411 h 697"/>
                  <a:gd name="T52" fmla="*/ 661 w 661"/>
                  <a:gd name="T53" fmla="*/ 429 h 697"/>
                  <a:gd name="T54" fmla="*/ 661 w 661"/>
                  <a:gd name="T55" fmla="*/ 438 h 697"/>
                  <a:gd name="T56" fmla="*/ 652 w 661"/>
                  <a:gd name="T57" fmla="*/ 447 h 697"/>
                  <a:gd name="T58" fmla="*/ 625 w 661"/>
                  <a:gd name="T59" fmla="*/ 447 h 697"/>
                  <a:gd name="T60" fmla="*/ 634 w 661"/>
                  <a:gd name="T61" fmla="*/ 465 h 697"/>
                  <a:gd name="T62" fmla="*/ 616 w 661"/>
                  <a:gd name="T63" fmla="*/ 474 h 697"/>
                  <a:gd name="T64" fmla="*/ 590 w 661"/>
                  <a:gd name="T65" fmla="*/ 482 h 697"/>
                  <a:gd name="T66" fmla="*/ 563 w 661"/>
                  <a:gd name="T67" fmla="*/ 491 h 697"/>
                  <a:gd name="T68" fmla="*/ 536 w 661"/>
                  <a:gd name="T69" fmla="*/ 491 h 697"/>
                  <a:gd name="T70" fmla="*/ 527 w 661"/>
                  <a:gd name="T71" fmla="*/ 509 h 697"/>
                  <a:gd name="T72" fmla="*/ 509 w 661"/>
                  <a:gd name="T73" fmla="*/ 527 h 697"/>
                  <a:gd name="T74" fmla="*/ 500 w 661"/>
                  <a:gd name="T75" fmla="*/ 527 h 697"/>
                  <a:gd name="T76" fmla="*/ 482 w 661"/>
                  <a:gd name="T77" fmla="*/ 518 h 697"/>
                  <a:gd name="T78" fmla="*/ 402 w 661"/>
                  <a:gd name="T79" fmla="*/ 536 h 697"/>
                  <a:gd name="T80" fmla="*/ 402 w 661"/>
                  <a:gd name="T81" fmla="*/ 643 h 697"/>
                  <a:gd name="T82" fmla="*/ 286 w 661"/>
                  <a:gd name="T83" fmla="*/ 652 h 697"/>
                  <a:gd name="T84" fmla="*/ 268 w 661"/>
                  <a:gd name="T85" fmla="*/ 634 h 697"/>
                  <a:gd name="T86" fmla="*/ 259 w 661"/>
                  <a:gd name="T87" fmla="*/ 581 h 697"/>
                  <a:gd name="T88" fmla="*/ 206 w 661"/>
                  <a:gd name="T89" fmla="*/ 634 h 697"/>
                  <a:gd name="T90" fmla="*/ 72 w 661"/>
                  <a:gd name="T91" fmla="*/ 679 h 697"/>
                  <a:gd name="T92" fmla="*/ 18 w 661"/>
                  <a:gd name="T93" fmla="*/ 527 h 697"/>
                  <a:gd name="T94" fmla="*/ 18 w 661"/>
                  <a:gd name="T95" fmla="*/ 482 h 697"/>
                  <a:gd name="T96" fmla="*/ 45 w 661"/>
                  <a:gd name="T97" fmla="*/ 465 h 697"/>
                  <a:gd name="T98" fmla="*/ 54 w 661"/>
                  <a:gd name="T99" fmla="*/ 447 h 697"/>
                  <a:gd name="T100" fmla="*/ 98 w 661"/>
                  <a:gd name="T101" fmla="*/ 438 h 697"/>
                  <a:gd name="T102" fmla="*/ 134 w 661"/>
                  <a:gd name="T103" fmla="*/ 438 h 697"/>
                  <a:gd name="T104" fmla="*/ 152 w 661"/>
                  <a:gd name="T105" fmla="*/ 438 h 697"/>
                  <a:gd name="T106" fmla="*/ 206 w 661"/>
                  <a:gd name="T107" fmla="*/ 438 h 697"/>
                  <a:gd name="T108" fmla="*/ 295 w 661"/>
                  <a:gd name="T109" fmla="*/ 393 h 697"/>
                  <a:gd name="T110" fmla="*/ 340 w 661"/>
                  <a:gd name="T111" fmla="*/ 331 h 697"/>
                  <a:gd name="T112" fmla="*/ 393 w 661"/>
                  <a:gd name="T113" fmla="*/ 259 h 697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</a:cxnLst>
                <a:rect l="0" t="0" r="r" b="b"/>
                <a:pathLst>
                  <a:path w="661" h="697">
                    <a:moveTo>
                      <a:pt x="375" y="197"/>
                    </a:moveTo>
                    <a:lnTo>
                      <a:pt x="375" y="197"/>
                    </a:lnTo>
                    <a:lnTo>
                      <a:pt x="375" y="197"/>
                    </a:lnTo>
                    <a:lnTo>
                      <a:pt x="375" y="197"/>
                    </a:lnTo>
                    <a:lnTo>
                      <a:pt x="375" y="197"/>
                    </a:lnTo>
                    <a:lnTo>
                      <a:pt x="375" y="197"/>
                    </a:lnTo>
                    <a:lnTo>
                      <a:pt x="375" y="197"/>
                    </a:lnTo>
                    <a:lnTo>
                      <a:pt x="384" y="197"/>
                    </a:lnTo>
                    <a:lnTo>
                      <a:pt x="384" y="197"/>
                    </a:lnTo>
                    <a:lnTo>
                      <a:pt x="384" y="188"/>
                    </a:lnTo>
                    <a:lnTo>
                      <a:pt x="384" y="188"/>
                    </a:lnTo>
                    <a:lnTo>
                      <a:pt x="384" y="188"/>
                    </a:lnTo>
                    <a:lnTo>
                      <a:pt x="384" y="188"/>
                    </a:lnTo>
                    <a:lnTo>
                      <a:pt x="384" y="179"/>
                    </a:lnTo>
                    <a:lnTo>
                      <a:pt x="384" y="179"/>
                    </a:lnTo>
                    <a:lnTo>
                      <a:pt x="384" y="179"/>
                    </a:lnTo>
                    <a:lnTo>
                      <a:pt x="384" y="179"/>
                    </a:lnTo>
                    <a:lnTo>
                      <a:pt x="384" y="170"/>
                    </a:lnTo>
                    <a:lnTo>
                      <a:pt x="384" y="170"/>
                    </a:lnTo>
                    <a:lnTo>
                      <a:pt x="393" y="170"/>
                    </a:lnTo>
                    <a:lnTo>
                      <a:pt x="393" y="170"/>
                    </a:lnTo>
                    <a:lnTo>
                      <a:pt x="393" y="170"/>
                    </a:lnTo>
                    <a:lnTo>
                      <a:pt x="402" y="161"/>
                    </a:lnTo>
                    <a:lnTo>
                      <a:pt x="402" y="161"/>
                    </a:lnTo>
                    <a:lnTo>
                      <a:pt x="402" y="161"/>
                    </a:lnTo>
                    <a:lnTo>
                      <a:pt x="402" y="152"/>
                    </a:lnTo>
                    <a:lnTo>
                      <a:pt x="411" y="152"/>
                    </a:lnTo>
                    <a:lnTo>
                      <a:pt x="411" y="152"/>
                    </a:lnTo>
                    <a:lnTo>
                      <a:pt x="411" y="143"/>
                    </a:lnTo>
                    <a:lnTo>
                      <a:pt x="420" y="143"/>
                    </a:lnTo>
                    <a:lnTo>
                      <a:pt x="420" y="134"/>
                    </a:lnTo>
                    <a:lnTo>
                      <a:pt x="420" y="134"/>
                    </a:lnTo>
                    <a:lnTo>
                      <a:pt x="429" y="125"/>
                    </a:lnTo>
                    <a:lnTo>
                      <a:pt x="429" y="125"/>
                    </a:lnTo>
                    <a:lnTo>
                      <a:pt x="429" y="116"/>
                    </a:lnTo>
                    <a:lnTo>
                      <a:pt x="438" y="107"/>
                    </a:lnTo>
                    <a:lnTo>
                      <a:pt x="438" y="107"/>
                    </a:lnTo>
                    <a:lnTo>
                      <a:pt x="438" y="98"/>
                    </a:lnTo>
                    <a:lnTo>
                      <a:pt x="438" y="90"/>
                    </a:lnTo>
                    <a:lnTo>
                      <a:pt x="447" y="81"/>
                    </a:lnTo>
                    <a:lnTo>
                      <a:pt x="447" y="81"/>
                    </a:lnTo>
                    <a:lnTo>
                      <a:pt x="447" y="72"/>
                    </a:lnTo>
                    <a:lnTo>
                      <a:pt x="447" y="63"/>
                    </a:lnTo>
                    <a:lnTo>
                      <a:pt x="447" y="63"/>
                    </a:lnTo>
                    <a:lnTo>
                      <a:pt x="447" y="54"/>
                    </a:lnTo>
                    <a:lnTo>
                      <a:pt x="447" y="45"/>
                    </a:lnTo>
                    <a:lnTo>
                      <a:pt x="447" y="45"/>
                    </a:lnTo>
                    <a:lnTo>
                      <a:pt x="447" y="36"/>
                    </a:lnTo>
                    <a:lnTo>
                      <a:pt x="447" y="27"/>
                    </a:lnTo>
                    <a:lnTo>
                      <a:pt x="447" y="27"/>
                    </a:lnTo>
                    <a:lnTo>
                      <a:pt x="447" y="27"/>
                    </a:lnTo>
                    <a:lnTo>
                      <a:pt x="447" y="18"/>
                    </a:lnTo>
                    <a:lnTo>
                      <a:pt x="447" y="18"/>
                    </a:lnTo>
                    <a:lnTo>
                      <a:pt x="447" y="9"/>
                    </a:lnTo>
                    <a:lnTo>
                      <a:pt x="456" y="9"/>
                    </a:lnTo>
                    <a:lnTo>
                      <a:pt x="456" y="9"/>
                    </a:lnTo>
                    <a:lnTo>
                      <a:pt x="456" y="0"/>
                    </a:lnTo>
                    <a:lnTo>
                      <a:pt x="456" y="9"/>
                    </a:lnTo>
                    <a:lnTo>
                      <a:pt x="465" y="9"/>
                    </a:lnTo>
                    <a:lnTo>
                      <a:pt x="465" y="9"/>
                    </a:lnTo>
                    <a:lnTo>
                      <a:pt x="465" y="9"/>
                    </a:lnTo>
                    <a:lnTo>
                      <a:pt x="465" y="9"/>
                    </a:lnTo>
                    <a:lnTo>
                      <a:pt x="474" y="9"/>
                    </a:lnTo>
                    <a:lnTo>
                      <a:pt x="474" y="18"/>
                    </a:lnTo>
                    <a:lnTo>
                      <a:pt x="474" y="18"/>
                    </a:lnTo>
                    <a:lnTo>
                      <a:pt x="482" y="18"/>
                    </a:lnTo>
                    <a:lnTo>
                      <a:pt x="482" y="27"/>
                    </a:lnTo>
                    <a:lnTo>
                      <a:pt x="482" y="27"/>
                    </a:lnTo>
                    <a:lnTo>
                      <a:pt x="482" y="27"/>
                    </a:lnTo>
                    <a:lnTo>
                      <a:pt x="491" y="36"/>
                    </a:lnTo>
                    <a:lnTo>
                      <a:pt x="491" y="36"/>
                    </a:lnTo>
                    <a:lnTo>
                      <a:pt x="491" y="36"/>
                    </a:lnTo>
                    <a:lnTo>
                      <a:pt x="491" y="45"/>
                    </a:lnTo>
                    <a:lnTo>
                      <a:pt x="500" y="45"/>
                    </a:lnTo>
                    <a:lnTo>
                      <a:pt x="500" y="45"/>
                    </a:lnTo>
                    <a:lnTo>
                      <a:pt x="500" y="45"/>
                    </a:lnTo>
                    <a:lnTo>
                      <a:pt x="509" y="54"/>
                    </a:lnTo>
                    <a:lnTo>
                      <a:pt x="509" y="54"/>
                    </a:lnTo>
                    <a:lnTo>
                      <a:pt x="509" y="54"/>
                    </a:lnTo>
                    <a:lnTo>
                      <a:pt x="509" y="63"/>
                    </a:lnTo>
                    <a:lnTo>
                      <a:pt x="509" y="63"/>
                    </a:lnTo>
                    <a:lnTo>
                      <a:pt x="509" y="63"/>
                    </a:lnTo>
                    <a:lnTo>
                      <a:pt x="509" y="72"/>
                    </a:lnTo>
                    <a:lnTo>
                      <a:pt x="509" y="72"/>
                    </a:lnTo>
                    <a:lnTo>
                      <a:pt x="509" y="72"/>
                    </a:lnTo>
                    <a:lnTo>
                      <a:pt x="509" y="81"/>
                    </a:lnTo>
                    <a:lnTo>
                      <a:pt x="509" y="81"/>
                    </a:lnTo>
                    <a:lnTo>
                      <a:pt x="509" y="90"/>
                    </a:lnTo>
                    <a:lnTo>
                      <a:pt x="509" y="90"/>
                    </a:lnTo>
                    <a:lnTo>
                      <a:pt x="509" y="90"/>
                    </a:lnTo>
                    <a:lnTo>
                      <a:pt x="509" y="98"/>
                    </a:lnTo>
                    <a:lnTo>
                      <a:pt x="509" y="98"/>
                    </a:lnTo>
                    <a:lnTo>
                      <a:pt x="509" y="98"/>
                    </a:lnTo>
                    <a:lnTo>
                      <a:pt x="509" y="98"/>
                    </a:lnTo>
                    <a:lnTo>
                      <a:pt x="509" y="107"/>
                    </a:lnTo>
                    <a:lnTo>
                      <a:pt x="509" y="107"/>
                    </a:lnTo>
                    <a:lnTo>
                      <a:pt x="509" y="107"/>
                    </a:lnTo>
                    <a:lnTo>
                      <a:pt x="509" y="107"/>
                    </a:lnTo>
                    <a:lnTo>
                      <a:pt x="500" y="107"/>
                    </a:lnTo>
                    <a:lnTo>
                      <a:pt x="500" y="116"/>
                    </a:lnTo>
                    <a:lnTo>
                      <a:pt x="500" y="116"/>
                    </a:lnTo>
                    <a:lnTo>
                      <a:pt x="491" y="116"/>
                    </a:lnTo>
                    <a:lnTo>
                      <a:pt x="491" y="116"/>
                    </a:lnTo>
                    <a:lnTo>
                      <a:pt x="491" y="116"/>
                    </a:lnTo>
                    <a:lnTo>
                      <a:pt x="491" y="116"/>
                    </a:lnTo>
                    <a:lnTo>
                      <a:pt x="482" y="116"/>
                    </a:lnTo>
                    <a:lnTo>
                      <a:pt x="482" y="125"/>
                    </a:lnTo>
                    <a:lnTo>
                      <a:pt x="482" y="125"/>
                    </a:lnTo>
                    <a:lnTo>
                      <a:pt x="482" y="125"/>
                    </a:lnTo>
                    <a:lnTo>
                      <a:pt x="482" y="134"/>
                    </a:lnTo>
                    <a:lnTo>
                      <a:pt x="482" y="134"/>
                    </a:lnTo>
                    <a:lnTo>
                      <a:pt x="482" y="134"/>
                    </a:lnTo>
                    <a:lnTo>
                      <a:pt x="482" y="143"/>
                    </a:lnTo>
                    <a:lnTo>
                      <a:pt x="482" y="143"/>
                    </a:lnTo>
                    <a:lnTo>
                      <a:pt x="482" y="152"/>
                    </a:lnTo>
                    <a:lnTo>
                      <a:pt x="474" y="152"/>
                    </a:lnTo>
                    <a:lnTo>
                      <a:pt x="474" y="161"/>
                    </a:lnTo>
                    <a:lnTo>
                      <a:pt x="474" y="170"/>
                    </a:lnTo>
                    <a:lnTo>
                      <a:pt x="474" y="170"/>
                    </a:lnTo>
                    <a:lnTo>
                      <a:pt x="474" y="179"/>
                    </a:lnTo>
                    <a:lnTo>
                      <a:pt x="482" y="179"/>
                    </a:lnTo>
                    <a:lnTo>
                      <a:pt x="482" y="188"/>
                    </a:lnTo>
                    <a:lnTo>
                      <a:pt x="482" y="188"/>
                    </a:lnTo>
                    <a:lnTo>
                      <a:pt x="482" y="188"/>
                    </a:lnTo>
                    <a:lnTo>
                      <a:pt x="491" y="188"/>
                    </a:lnTo>
                    <a:lnTo>
                      <a:pt x="491" y="188"/>
                    </a:lnTo>
                    <a:lnTo>
                      <a:pt x="500" y="188"/>
                    </a:lnTo>
                    <a:lnTo>
                      <a:pt x="500" y="197"/>
                    </a:lnTo>
                    <a:lnTo>
                      <a:pt x="500" y="197"/>
                    </a:lnTo>
                    <a:lnTo>
                      <a:pt x="509" y="197"/>
                    </a:lnTo>
                    <a:lnTo>
                      <a:pt x="509" y="197"/>
                    </a:lnTo>
                    <a:lnTo>
                      <a:pt x="518" y="197"/>
                    </a:lnTo>
                    <a:lnTo>
                      <a:pt x="518" y="206"/>
                    </a:lnTo>
                    <a:lnTo>
                      <a:pt x="518" y="206"/>
                    </a:lnTo>
                    <a:lnTo>
                      <a:pt x="527" y="206"/>
                    </a:lnTo>
                    <a:lnTo>
                      <a:pt x="527" y="206"/>
                    </a:lnTo>
                    <a:lnTo>
                      <a:pt x="527" y="206"/>
                    </a:lnTo>
                    <a:lnTo>
                      <a:pt x="536" y="215"/>
                    </a:lnTo>
                    <a:lnTo>
                      <a:pt x="536" y="215"/>
                    </a:lnTo>
                    <a:lnTo>
                      <a:pt x="536" y="215"/>
                    </a:lnTo>
                    <a:lnTo>
                      <a:pt x="536" y="223"/>
                    </a:lnTo>
                    <a:lnTo>
                      <a:pt x="536" y="223"/>
                    </a:lnTo>
                    <a:lnTo>
                      <a:pt x="545" y="223"/>
                    </a:lnTo>
                    <a:lnTo>
                      <a:pt x="545" y="232"/>
                    </a:lnTo>
                    <a:lnTo>
                      <a:pt x="545" y="232"/>
                    </a:lnTo>
                    <a:lnTo>
                      <a:pt x="545" y="232"/>
                    </a:lnTo>
                    <a:lnTo>
                      <a:pt x="545" y="232"/>
                    </a:lnTo>
                    <a:lnTo>
                      <a:pt x="554" y="241"/>
                    </a:lnTo>
                    <a:lnTo>
                      <a:pt x="554" y="241"/>
                    </a:lnTo>
                    <a:lnTo>
                      <a:pt x="554" y="241"/>
                    </a:lnTo>
                    <a:lnTo>
                      <a:pt x="554" y="241"/>
                    </a:lnTo>
                    <a:lnTo>
                      <a:pt x="563" y="241"/>
                    </a:lnTo>
                    <a:lnTo>
                      <a:pt x="563" y="250"/>
                    </a:lnTo>
                    <a:lnTo>
                      <a:pt x="563" y="250"/>
                    </a:lnTo>
                    <a:lnTo>
                      <a:pt x="563" y="259"/>
                    </a:lnTo>
                    <a:lnTo>
                      <a:pt x="563" y="259"/>
                    </a:lnTo>
                    <a:lnTo>
                      <a:pt x="572" y="268"/>
                    </a:lnTo>
                    <a:lnTo>
                      <a:pt x="572" y="277"/>
                    </a:lnTo>
                    <a:lnTo>
                      <a:pt x="572" y="277"/>
                    </a:lnTo>
                    <a:lnTo>
                      <a:pt x="572" y="286"/>
                    </a:lnTo>
                    <a:lnTo>
                      <a:pt x="581" y="286"/>
                    </a:lnTo>
                    <a:lnTo>
                      <a:pt x="581" y="295"/>
                    </a:lnTo>
                    <a:lnTo>
                      <a:pt x="581" y="295"/>
                    </a:lnTo>
                    <a:lnTo>
                      <a:pt x="590" y="295"/>
                    </a:lnTo>
                    <a:lnTo>
                      <a:pt x="590" y="304"/>
                    </a:lnTo>
                    <a:lnTo>
                      <a:pt x="599" y="304"/>
                    </a:lnTo>
                    <a:lnTo>
                      <a:pt x="599" y="304"/>
                    </a:lnTo>
                    <a:lnTo>
                      <a:pt x="599" y="304"/>
                    </a:lnTo>
                    <a:lnTo>
                      <a:pt x="608" y="304"/>
                    </a:lnTo>
                    <a:lnTo>
                      <a:pt x="608" y="304"/>
                    </a:lnTo>
                    <a:lnTo>
                      <a:pt x="608" y="313"/>
                    </a:lnTo>
                    <a:lnTo>
                      <a:pt x="616" y="313"/>
                    </a:lnTo>
                    <a:lnTo>
                      <a:pt x="616" y="313"/>
                    </a:lnTo>
                    <a:lnTo>
                      <a:pt x="616" y="313"/>
                    </a:lnTo>
                    <a:lnTo>
                      <a:pt x="625" y="313"/>
                    </a:lnTo>
                    <a:lnTo>
                      <a:pt x="625" y="313"/>
                    </a:lnTo>
                    <a:lnTo>
                      <a:pt x="625" y="313"/>
                    </a:lnTo>
                    <a:lnTo>
                      <a:pt x="625" y="313"/>
                    </a:lnTo>
                    <a:lnTo>
                      <a:pt x="634" y="313"/>
                    </a:lnTo>
                    <a:lnTo>
                      <a:pt x="634" y="322"/>
                    </a:lnTo>
                    <a:lnTo>
                      <a:pt x="643" y="322"/>
                    </a:lnTo>
                    <a:lnTo>
                      <a:pt x="643" y="322"/>
                    </a:lnTo>
                    <a:lnTo>
                      <a:pt x="643" y="322"/>
                    </a:lnTo>
                    <a:lnTo>
                      <a:pt x="652" y="322"/>
                    </a:lnTo>
                    <a:lnTo>
                      <a:pt x="652" y="331"/>
                    </a:lnTo>
                    <a:lnTo>
                      <a:pt x="652" y="331"/>
                    </a:lnTo>
                    <a:lnTo>
                      <a:pt x="652" y="331"/>
                    </a:lnTo>
                    <a:lnTo>
                      <a:pt x="652" y="340"/>
                    </a:lnTo>
                    <a:lnTo>
                      <a:pt x="652" y="340"/>
                    </a:lnTo>
                    <a:lnTo>
                      <a:pt x="652" y="340"/>
                    </a:lnTo>
                    <a:lnTo>
                      <a:pt x="652" y="348"/>
                    </a:lnTo>
                    <a:lnTo>
                      <a:pt x="643" y="348"/>
                    </a:lnTo>
                    <a:lnTo>
                      <a:pt x="643" y="348"/>
                    </a:lnTo>
                    <a:lnTo>
                      <a:pt x="643" y="357"/>
                    </a:lnTo>
                    <a:lnTo>
                      <a:pt x="643" y="357"/>
                    </a:lnTo>
                    <a:lnTo>
                      <a:pt x="643" y="366"/>
                    </a:lnTo>
                    <a:lnTo>
                      <a:pt x="643" y="366"/>
                    </a:lnTo>
                    <a:lnTo>
                      <a:pt x="643" y="375"/>
                    </a:lnTo>
                    <a:lnTo>
                      <a:pt x="643" y="375"/>
                    </a:lnTo>
                    <a:lnTo>
                      <a:pt x="643" y="384"/>
                    </a:lnTo>
                    <a:lnTo>
                      <a:pt x="643" y="384"/>
                    </a:lnTo>
                    <a:lnTo>
                      <a:pt x="643" y="393"/>
                    </a:lnTo>
                    <a:lnTo>
                      <a:pt x="643" y="393"/>
                    </a:lnTo>
                    <a:lnTo>
                      <a:pt x="643" y="393"/>
                    </a:lnTo>
                    <a:lnTo>
                      <a:pt x="643" y="402"/>
                    </a:lnTo>
                    <a:lnTo>
                      <a:pt x="652" y="402"/>
                    </a:lnTo>
                    <a:lnTo>
                      <a:pt x="652" y="411"/>
                    </a:lnTo>
                    <a:lnTo>
                      <a:pt x="652" y="411"/>
                    </a:lnTo>
                    <a:lnTo>
                      <a:pt x="652" y="411"/>
                    </a:lnTo>
                    <a:lnTo>
                      <a:pt x="652" y="420"/>
                    </a:lnTo>
                    <a:lnTo>
                      <a:pt x="652" y="420"/>
                    </a:lnTo>
                    <a:lnTo>
                      <a:pt x="652" y="420"/>
                    </a:lnTo>
                    <a:lnTo>
                      <a:pt x="661" y="420"/>
                    </a:lnTo>
                    <a:lnTo>
                      <a:pt x="661" y="429"/>
                    </a:lnTo>
                    <a:lnTo>
                      <a:pt x="661" y="429"/>
                    </a:lnTo>
                    <a:lnTo>
                      <a:pt x="661" y="429"/>
                    </a:lnTo>
                    <a:lnTo>
                      <a:pt x="661" y="429"/>
                    </a:lnTo>
                    <a:lnTo>
                      <a:pt x="661" y="429"/>
                    </a:lnTo>
                    <a:lnTo>
                      <a:pt x="661" y="429"/>
                    </a:lnTo>
                    <a:lnTo>
                      <a:pt x="661" y="438"/>
                    </a:lnTo>
                    <a:lnTo>
                      <a:pt x="661" y="438"/>
                    </a:lnTo>
                    <a:lnTo>
                      <a:pt x="661" y="438"/>
                    </a:lnTo>
                    <a:lnTo>
                      <a:pt x="661" y="438"/>
                    </a:lnTo>
                    <a:lnTo>
                      <a:pt x="661" y="438"/>
                    </a:lnTo>
                    <a:lnTo>
                      <a:pt x="661" y="438"/>
                    </a:lnTo>
                    <a:lnTo>
                      <a:pt x="661" y="438"/>
                    </a:lnTo>
                    <a:lnTo>
                      <a:pt x="661" y="438"/>
                    </a:lnTo>
                    <a:lnTo>
                      <a:pt x="661" y="438"/>
                    </a:lnTo>
                    <a:lnTo>
                      <a:pt x="652" y="447"/>
                    </a:lnTo>
                    <a:lnTo>
                      <a:pt x="652" y="447"/>
                    </a:lnTo>
                    <a:lnTo>
                      <a:pt x="652" y="447"/>
                    </a:lnTo>
                    <a:lnTo>
                      <a:pt x="652" y="447"/>
                    </a:lnTo>
                    <a:lnTo>
                      <a:pt x="652" y="447"/>
                    </a:lnTo>
                    <a:lnTo>
                      <a:pt x="643" y="447"/>
                    </a:lnTo>
                    <a:lnTo>
                      <a:pt x="643" y="447"/>
                    </a:lnTo>
                    <a:lnTo>
                      <a:pt x="643" y="447"/>
                    </a:lnTo>
                    <a:lnTo>
                      <a:pt x="634" y="447"/>
                    </a:lnTo>
                    <a:lnTo>
                      <a:pt x="634" y="447"/>
                    </a:lnTo>
                    <a:lnTo>
                      <a:pt x="634" y="447"/>
                    </a:lnTo>
                    <a:lnTo>
                      <a:pt x="625" y="447"/>
                    </a:lnTo>
                    <a:lnTo>
                      <a:pt x="625" y="447"/>
                    </a:lnTo>
                    <a:lnTo>
                      <a:pt x="625" y="447"/>
                    </a:lnTo>
                    <a:lnTo>
                      <a:pt x="625" y="456"/>
                    </a:lnTo>
                    <a:lnTo>
                      <a:pt x="625" y="456"/>
                    </a:lnTo>
                    <a:lnTo>
                      <a:pt x="625" y="456"/>
                    </a:lnTo>
                    <a:lnTo>
                      <a:pt x="634" y="465"/>
                    </a:lnTo>
                    <a:lnTo>
                      <a:pt x="634" y="465"/>
                    </a:lnTo>
                    <a:lnTo>
                      <a:pt x="634" y="465"/>
                    </a:lnTo>
                    <a:lnTo>
                      <a:pt x="634" y="474"/>
                    </a:lnTo>
                    <a:lnTo>
                      <a:pt x="634" y="474"/>
                    </a:lnTo>
                    <a:lnTo>
                      <a:pt x="625" y="474"/>
                    </a:lnTo>
                    <a:lnTo>
                      <a:pt x="625" y="474"/>
                    </a:lnTo>
                    <a:lnTo>
                      <a:pt x="625" y="474"/>
                    </a:lnTo>
                    <a:lnTo>
                      <a:pt x="625" y="474"/>
                    </a:lnTo>
                    <a:lnTo>
                      <a:pt x="616" y="474"/>
                    </a:lnTo>
                    <a:lnTo>
                      <a:pt x="616" y="474"/>
                    </a:lnTo>
                    <a:lnTo>
                      <a:pt x="616" y="474"/>
                    </a:lnTo>
                    <a:lnTo>
                      <a:pt x="608" y="482"/>
                    </a:lnTo>
                    <a:lnTo>
                      <a:pt x="608" y="482"/>
                    </a:lnTo>
                    <a:lnTo>
                      <a:pt x="608" y="482"/>
                    </a:lnTo>
                    <a:lnTo>
                      <a:pt x="599" y="482"/>
                    </a:lnTo>
                    <a:lnTo>
                      <a:pt x="599" y="482"/>
                    </a:lnTo>
                    <a:lnTo>
                      <a:pt x="590" y="482"/>
                    </a:lnTo>
                    <a:lnTo>
                      <a:pt x="590" y="482"/>
                    </a:lnTo>
                    <a:lnTo>
                      <a:pt x="590" y="482"/>
                    </a:lnTo>
                    <a:lnTo>
                      <a:pt x="581" y="482"/>
                    </a:lnTo>
                    <a:lnTo>
                      <a:pt x="581" y="482"/>
                    </a:lnTo>
                    <a:lnTo>
                      <a:pt x="572" y="482"/>
                    </a:lnTo>
                    <a:lnTo>
                      <a:pt x="572" y="482"/>
                    </a:lnTo>
                    <a:lnTo>
                      <a:pt x="563" y="482"/>
                    </a:lnTo>
                    <a:lnTo>
                      <a:pt x="563" y="491"/>
                    </a:lnTo>
                    <a:lnTo>
                      <a:pt x="563" y="491"/>
                    </a:lnTo>
                    <a:lnTo>
                      <a:pt x="554" y="491"/>
                    </a:lnTo>
                    <a:lnTo>
                      <a:pt x="554" y="491"/>
                    </a:lnTo>
                    <a:lnTo>
                      <a:pt x="554" y="491"/>
                    </a:lnTo>
                    <a:lnTo>
                      <a:pt x="545" y="491"/>
                    </a:lnTo>
                    <a:lnTo>
                      <a:pt x="545" y="491"/>
                    </a:lnTo>
                    <a:lnTo>
                      <a:pt x="545" y="491"/>
                    </a:lnTo>
                    <a:lnTo>
                      <a:pt x="545" y="491"/>
                    </a:lnTo>
                    <a:lnTo>
                      <a:pt x="536" y="491"/>
                    </a:lnTo>
                    <a:lnTo>
                      <a:pt x="536" y="491"/>
                    </a:lnTo>
                    <a:lnTo>
                      <a:pt x="536" y="491"/>
                    </a:lnTo>
                    <a:lnTo>
                      <a:pt x="536" y="500"/>
                    </a:lnTo>
                    <a:lnTo>
                      <a:pt x="536" y="500"/>
                    </a:lnTo>
                    <a:lnTo>
                      <a:pt x="536" y="500"/>
                    </a:lnTo>
                    <a:lnTo>
                      <a:pt x="536" y="500"/>
                    </a:lnTo>
                    <a:lnTo>
                      <a:pt x="527" y="509"/>
                    </a:lnTo>
                    <a:lnTo>
                      <a:pt x="527" y="509"/>
                    </a:lnTo>
                    <a:lnTo>
                      <a:pt x="527" y="509"/>
                    </a:lnTo>
                    <a:lnTo>
                      <a:pt x="527" y="518"/>
                    </a:lnTo>
                    <a:lnTo>
                      <a:pt x="527" y="518"/>
                    </a:lnTo>
                    <a:lnTo>
                      <a:pt x="518" y="518"/>
                    </a:lnTo>
                    <a:lnTo>
                      <a:pt x="518" y="518"/>
                    </a:lnTo>
                    <a:lnTo>
                      <a:pt x="518" y="527"/>
                    </a:lnTo>
                    <a:lnTo>
                      <a:pt x="509" y="527"/>
                    </a:lnTo>
                    <a:lnTo>
                      <a:pt x="509" y="527"/>
                    </a:lnTo>
                    <a:lnTo>
                      <a:pt x="509" y="527"/>
                    </a:lnTo>
                    <a:lnTo>
                      <a:pt x="509" y="527"/>
                    </a:lnTo>
                    <a:lnTo>
                      <a:pt x="509" y="527"/>
                    </a:lnTo>
                    <a:lnTo>
                      <a:pt x="500" y="527"/>
                    </a:lnTo>
                    <a:lnTo>
                      <a:pt x="500" y="527"/>
                    </a:lnTo>
                    <a:lnTo>
                      <a:pt x="500" y="527"/>
                    </a:lnTo>
                    <a:lnTo>
                      <a:pt x="500" y="527"/>
                    </a:lnTo>
                    <a:lnTo>
                      <a:pt x="500" y="527"/>
                    </a:lnTo>
                    <a:lnTo>
                      <a:pt x="500" y="527"/>
                    </a:lnTo>
                    <a:lnTo>
                      <a:pt x="500" y="527"/>
                    </a:lnTo>
                    <a:lnTo>
                      <a:pt x="491" y="527"/>
                    </a:lnTo>
                    <a:lnTo>
                      <a:pt x="491" y="527"/>
                    </a:lnTo>
                    <a:lnTo>
                      <a:pt x="491" y="518"/>
                    </a:lnTo>
                    <a:lnTo>
                      <a:pt x="482" y="518"/>
                    </a:lnTo>
                    <a:lnTo>
                      <a:pt x="482" y="518"/>
                    </a:lnTo>
                    <a:lnTo>
                      <a:pt x="482" y="518"/>
                    </a:lnTo>
                    <a:lnTo>
                      <a:pt x="482" y="518"/>
                    </a:lnTo>
                    <a:lnTo>
                      <a:pt x="465" y="518"/>
                    </a:lnTo>
                    <a:lnTo>
                      <a:pt x="456" y="518"/>
                    </a:lnTo>
                    <a:lnTo>
                      <a:pt x="438" y="518"/>
                    </a:lnTo>
                    <a:lnTo>
                      <a:pt x="429" y="518"/>
                    </a:lnTo>
                    <a:lnTo>
                      <a:pt x="420" y="527"/>
                    </a:lnTo>
                    <a:lnTo>
                      <a:pt x="402" y="527"/>
                    </a:lnTo>
                    <a:lnTo>
                      <a:pt x="402" y="536"/>
                    </a:lnTo>
                    <a:lnTo>
                      <a:pt x="393" y="536"/>
                    </a:lnTo>
                    <a:lnTo>
                      <a:pt x="393" y="545"/>
                    </a:lnTo>
                    <a:lnTo>
                      <a:pt x="402" y="563"/>
                    </a:lnTo>
                    <a:lnTo>
                      <a:pt x="402" y="581"/>
                    </a:lnTo>
                    <a:lnTo>
                      <a:pt x="402" y="607"/>
                    </a:lnTo>
                    <a:lnTo>
                      <a:pt x="420" y="616"/>
                    </a:lnTo>
                    <a:lnTo>
                      <a:pt x="411" y="634"/>
                    </a:lnTo>
                    <a:lnTo>
                      <a:pt x="402" y="643"/>
                    </a:lnTo>
                    <a:lnTo>
                      <a:pt x="393" y="661"/>
                    </a:lnTo>
                    <a:lnTo>
                      <a:pt x="366" y="670"/>
                    </a:lnTo>
                    <a:lnTo>
                      <a:pt x="348" y="679"/>
                    </a:lnTo>
                    <a:lnTo>
                      <a:pt x="331" y="688"/>
                    </a:lnTo>
                    <a:lnTo>
                      <a:pt x="313" y="679"/>
                    </a:lnTo>
                    <a:lnTo>
                      <a:pt x="286" y="661"/>
                    </a:lnTo>
                    <a:lnTo>
                      <a:pt x="286" y="661"/>
                    </a:lnTo>
                    <a:lnTo>
                      <a:pt x="286" y="652"/>
                    </a:lnTo>
                    <a:lnTo>
                      <a:pt x="286" y="652"/>
                    </a:lnTo>
                    <a:lnTo>
                      <a:pt x="277" y="652"/>
                    </a:lnTo>
                    <a:lnTo>
                      <a:pt x="277" y="652"/>
                    </a:lnTo>
                    <a:lnTo>
                      <a:pt x="268" y="643"/>
                    </a:lnTo>
                    <a:lnTo>
                      <a:pt x="268" y="643"/>
                    </a:lnTo>
                    <a:lnTo>
                      <a:pt x="268" y="643"/>
                    </a:lnTo>
                    <a:lnTo>
                      <a:pt x="268" y="643"/>
                    </a:lnTo>
                    <a:lnTo>
                      <a:pt x="268" y="634"/>
                    </a:lnTo>
                    <a:lnTo>
                      <a:pt x="259" y="634"/>
                    </a:lnTo>
                    <a:lnTo>
                      <a:pt x="259" y="634"/>
                    </a:lnTo>
                    <a:lnTo>
                      <a:pt x="259" y="625"/>
                    </a:lnTo>
                    <a:lnTo>
                      <a:pt x="250" y="625"/>
                    </a:lnTo>
                    <a:lnTo>
                      <a:pt x="250" y="625"/>
                    </a:lnTo>
                    <a:lnTo>
                      <a:pt x="250" y="625"/>
                    </a:lnTo>
                    <a:lnTo>
                      <a:pt x="250" y="607"/>
                    </a:lnTo>
                    <a:lnTo>
                      <a:pt x="259" y="581"/>
                    </a:lnTo>
                    <a:lnTo>
                      <a:pt x="259" y="563"/>
                    </a:lnTo>
                    <a:lnTo>
                      <a:pt x="250" y="572"/>
                    </a:lnTo>
                    <a:lnTo>
                      <a:pt x="232" y="572"/>
                    </a:lnTo>
                    <a:lnTo>
                      <a:pt x="232" y="590"/>
                    </a:lnTo>
                    <a:lnTo>
                      <a:pt x="232" y="607"/>
                    </a:lnTo>
                    <a:lnTo>
                      <a:pt x="223" y="607"/>
                    </a:lnTo>
                    <a:lnTo>
                      <a:pt x="206" y="616"/>
                    </a:lnTo>
                    <a:lnTo>
                      <a:pt x="206" y="634"/>
                    </a:lnTo>
                    <a:lnTo>
                      <a:pt x="206" y="652"/>
                    </a:lnTo>
                    <a:lnTo>
                      <a:pt x="188" y="670"/>
                    </a:lnTo>
                    <a:lnTo>
                      <a:pt x="179" y="688"/>
                    </a:lnTo>
                    <a:lnTo>
                      <a:pt x="161" y="697"/>
                    </a:lnTo>
                    <a:lnTo>
                      <a:pt x="134" y="697"/>
                    </a:lnTo>
                    <a:lnTo>
                      <a:pt x="116" y="688"/>
                    </a:lnTo>
                    <a:lnTo>
                      <a:pt x="89" y="679"/>
                    </a:lnTo>
                    <a:lnTo>
                      <a:pt x="72" y="679"/>
                    </a:lnTo>
                    <a:lnTo>
                      <a:pt x="72" y="652"/>
                    </a:lnTo>
                    <a:lnTo>
                      <a:pt x="81" y="625"/>
                    </a:lnTo>
                    <a:lnTo>
                      <a:pt x="81" y="607"/>
                    </a:lnTo>
                    <a:lnTo>
                      <a:pt x="81" y="590"/>
                    </a:lnTo>
                    <a:lnTo>
                      <a:pt x="63" y="581"/>
                    </a:lnTo>
                    <a:lnTo>
                      <a:pt x="45" y="554"/>
                    </a:lnTo>
                    <a:lnTo>
                      <a:pt x="45" y="536"/>
                    </a:lnTo>
                    <a:lnTo>
                      <a:pt x="18" y="527"/>
                    </a:lnTo>
                    <a:lnTo>
                      <a:pt x="9" y="500"/>
                    </a:lnTo>
                    <a:lnTo>
                      <a:pt x="0" y="491"/>
                    </a:lnTo>
                    <a:lnTo>
                      <a:pt x="0" y="491"/>
                    </a:lnTo>
                    <a:lnTo>
                      <a:pt x="0" y="482"/>
                    </a:lnTo>
                    <a:lnTo>
                      <a:pt x="9" y="482"/>
                    </a:lnTo>
                    <a:lnTo>
                      <a:pt x="9" y="482"/>
                    </a:lnTo>
                    <a:lnTo>
                      <a:pt x="9" y="482"/>
                    </a:lnTo>
                    <a:lnTo>
                      <a:pt x="18" y="482"/>
                    </a:lnTo>
                    <a:lnTo>
                      <a:pt x="18" y="482"/>
                    </a:lnTo>
                    <a:lnTo>
                      <a:pt x="18" y="482"/>
                    </a:lnTo>
                    <a:lnTo>
                      <a:pt x="27" y="474"/>
                    </a:lnTo>
                    <a:lnTo>
                      <a:pt x="27" y="474"/>
                    </a:lnTo>
                    <a:lnTo>
                      <a:pt x="36" y="474"/>
                    </a:lnTo>
                    <a:lnTo>
                      <a:pt x="36" y="474"/>
                    </a:lnTo>
                    <a:lnTo>
                      <a:pt x="36" y="465"/>
                    </a:lnTo>
                    <a:lnTo>
                      <a:pt x="45" y="465"/>
                    </a:lnTo>
                    <a:lnTo>
                      <a:pt x="45" y="465"/>
                    </a:lnTo>
                    <a:lnTo>
                      <a:pt x="45" y="465"/>
                    </a:lnTo>
                    <a:lnTo>
                      <a:pt x="54" y="456"/>
                    </a:lnTo>
                    <a:lnTo>
                      <a:pt x="54" y="456"/>
                    </a:lnTo>
                    <a:lnTo>
                      <a:pt x="54" y="456"/>
                    </a:lnTo>
                    <a:lnTo>
                      <a:pt x="54" y="447"/>
                    </a:lnTo>
                    <a:lnTo>
                      <a:pt x="45" y="447"/>
                    </a:lnTo>
                    <a:lnTo>
                      <a:pt x="54" y="447"/>
                    </a:lnTo>
                    <a:lnTo>
                      <a:pt x="54" y="438"/>
                    </a:lnTo>
                    <a:lnTo>
                      <a:pt x="54" y="438"/>
                    </a:lnTo>
                    <a:lnTo>
                      <a:pt x="63" y="438"/>
                    </a:lnTo>
                    <a:lnTo>
                      <a:pt x="72" y="438"/>
                    </a:lnTo>
                    <a:lnTo>
                      <a:pt x="72" y="438"/>
                    </a:lnTo>
                    <a:lnTo>
                      <a:pt x="81" y="438"/>
                    </a:lnTo>
                    <a:lnTo>
                      <a:pt x="89" y="438"/>
                    </a:lnTo>
                    <a:lnTo>
                      <a:pt x="98" y="438"/>
                    </a:lnTo>
                    <a:lnTo>
                      <a:pt x="107" y="438"/>
                    </a:lnTo>
                    <a:lnTo>
                      <a:pt x="116" y="438"/>
                    </a:lnTo>
                    <a:lnTo>
                      <a:pt x="116" y="438"/>
                    </a:lnTo>
                    <a:lnTo>
                      <a:pt x="125" y="438"/>
                    </a:lnTo>
                    <a:lnTo>
                      <a:pt x="125" y="438"/>
                    </a:lnTo>
                    <a:lnTo>
                      <a:pt x="134" y="438"/>
                    </a:lnTo>
                    <a:lnTo>
                      <a:pt x="134" y="438"/>
                    </a:lnTo>
                    <a:lnTo>
                      <a:pt x="134" y="438"/>
                    </a:lnTo>
                    <a:lnTo>
                      <a:pt x="143" y="438"/>
                    </a:lnTo>
                    <a:lnTo>
                      <a:pt x="143" y="438"/>
                    </a:lnTo>
                    <a:lnTo>
                      <a:pt x="152" y="438"/>
                    </a:lnTo>
                    <a:lnTo>
                      <a:pt x="152" y="438"/>
                    </a:lnTo>
                    <a:lnTo>
                      <a:pt x="152" y="438"/>
                    </a:lnTo>
                    <a:lnTo>
                      <a:pt x="152" y="438"/>
                    </a:lnTo>
                    <a:lnTo>
                      <a:pt x="152" y="438"/>
                    </a:lnTo>
                    <a:lnTo>
                      <a:pt x="152" y="438"/>
                    </a:lnTo>
                    <a:lnTo>
                      <a:pt x="152" y="438"/>
                    </a:lnTo>
                    <a:lnTo>
                      <a:pt x="152" y="438"/>
                    </a:lnTo>
                    <a:lnTo>
                      <a:pt x="152" y="447"/>
                    </a:lnTo>
                    <a:lnTo>
                      <a:pt x="170" y="447"/>
                    </a:lnTo>
                    <a:lnTo>
                      <a:pt x="179" y="447"/>
                    </a:lnTo>
                    <a:lnTo>
                      <a:pt x="188" y="438"/>
                    </a:lnTo>
                    <a:lnTo>
                      <a:pt x="197" y="438"/>
                    </a:lnTo>
                    <a:lnTo>
                      <a:pt x="206" y="438"/>
                    </a:lnTo>
                    <a:lnTo>
                      <a:pt x="206" y="420"/>
                    </a:lnTo>
                    <a:lnTo>
                      <a:pt x="215" y="420"/>
                    </a:lnTo>
                    <a:lnTo>
                      <a:pt x="232" y="420"/>
                    </a:lnTo>
                    <a:lnTo>
                      <a:pt x="250" y="420"/>
                    </a:lnTo>
                    <a:lnTo>
                      <a:pt x="268" y="411"/>
                    </a:lnTo>
                    <a:lnTo>
                      <a:pt x="286" y="402"/>
                    </a:lnTo>
                    <a:lnTo>
                      <a:pt x="295" y="402"/>
                    </a:lnTo>
                    <a:lnTo>
                      <a:pt x="295" y="393"/>
                    </a:lnTo>
                    <a:lnTo>
                      <a:pt x="295" y="375"/>
                    </a:lnTo>
                    <a:lnTo>
                      <a:pt x="304" y="375"/>
                    </a:lnTo>
                    <a:lnTo>
                      <a:pt x="304" y="366"/>
                    </a:lnTo>
                    <a:lnTo>
                      <a:pt x="304" y="357"/>
                    </a:lnTo>
                    <a:lnTo>
                      <a:pt x="313" y="348"/>
                    </a:lnTo>
                    <a:lnTo>
                      <a:pt x="322" y="340"/>
                    </a:lnTo>
                    <a:lnTo>
                      <a:pt x="331" y="331"/>
                    </a:lnTo>
                    <a:lnTo>
                      <a:pt x="340" y="331"/>
                    </a:lnTo>
                    <a:lnTo>
                      <a:pt x="340" y="313"/>
                    </a:lnTo>
                    <a:lnTo>
                      <a:pt x="366" y="304"/>
                    </a:lnTo>
                    <a:lnTo>
                      <a:pt x="384" y="304"/>
                    </a:lnTo>
                    <a:lnTo>
                      <a:pt x="402" y="304"/>
                    </a:lnTo>
                    <a:lnTo>
                      <a:pt x="411" y="295"/>
                    </a:lnTo>
                    <a:lnTo>
                      <a:pt x="411" y="277"/>
                    </a:lnTo>
                    <a:lnTo>
                      <a:pt x="411" y="268"/>
                    </a:lnTo>
                    <a:lnTo>
                      <a:pt x="393" y="259"/>
                    </a:lnTo>
                    <a:lnTo>
                      <a:pt x="384" y="250"/>
                    </a:lnTo>
                    <a:lnTo>
                      <a:pt x="384" y="232"/>
                    </a:lnTo>
                    <a:lnTo>
                      <a:pt x="375" y="223"/>
                    </a:lnTo>
                    <a:lnTo>
                      <a:pt x="366" y="206"/>
                    </a:lnTo>
                    <a:lnTo>
                      <a:pt x="375" y="197"/>
                    </a:lnTo>
                  </a:path>
                </a:pathLst>
              </a:custGeom>
              <a:solidFill>
                <a:schemeClr val="accent6">
                  <a:lumMod val="50000"/>
                </a:schemeClr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32" name="Freeform 55">
                <a:extLst>
                  <a:ext uri="{FF2B5EF4-FFF2-40B4-BE49-F238E27FC236}">
                    <a16:creationId xmlns:a16="http://schemas.microsoft.com/office/drawing/2014/main" id="{00000000-0008-0000-0C00-000020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525" y="5229"/>
                <a:ext cx="593" cy="594"/>
              </a:xfrm>
              <a:custGeom>
                <a:avLst/>
                <a:gdLst>
                  <a:gd name="T0" fmla="*/ 232 w 268"/>
                  <a:gd name="T1" fmla="*/ 26 h 250"/>
                  <a:gd name="T2" fmla="*/ 250 w 268"/>
                  <a:gd name="T3" fmla="*/ 62 h 250"/>
                  <a:gd name="T4" fmla="*/ 268 w 268"/>
                  <a:gd name="T5" fmla="*/ 98 h 250"/>
                  <a:gd name="T6" fmla="*/ 223 w 268"/>
                  <a:gd name="T7" fmla="*/ 107 h 250"/>
                  <a:gd name="T8" fmla="*/ 188 w 268"/>
                  <a:gd name="T9" fmla="*/ 134 h 250"/>
                  <a:gd name="T10" fmla="*/ 161 w 268"/>
                  <a:gd name="T11" fmla="*/ 160 h 250"/>
                  <a:gd name="T12" fmla="*/ 152 w 268"/>
                  <a:gd name="T13" fmla="*/ 178 h 250"/>
                  <a:gd name="T14" fmla="*/ 143 w 268"/>
                  <a:gd name="T15" fmla="*/ 205 h 250"/>
                  <a:gd name="T16" fmla="*/ 89 w 268"/>
                  <a:gd name="T17" fmla="*/ 223 h 250"/>
                  <a:gd name="T18" fmla="*/ 63 w 268"/>
                  <a:gd name="T19" fmla="*/ 241 h 250"/>
                  <a:gd name="T20" fmla="*/ 36 w 268"/>
                  <a:gd name="T21" fmla="*/ 250 h 250"/>
                  <a:gd name="T22" fmla="*/ 9 w 268"/>
                  <a:gd name="T23" fmla="*/ 241 h 250"/>
                  <a:gd name="T24" fmla="*/ 9 w 268"/>
                  <a:gd name="T25" fmla="*/ 241 h 250"/>
                  <a:gd name="T26" fmla="*/ 9 w 268"/>
                  <a:gd name="T27" fmla="*/ 232 h 250"/>
                  <a:gd name="T28" fmla="*/ 9 w 268"/>
                  <a:gd name="T29" fmla="*/ 232 h 250"/>
                  <a:gd name="T30" fmla="*/ 18 w 268"/>
                  <a:gd name="T31" fmla="*/ 223 h 250"/>
                  <a:gd name="T32" fmla="*/ 27 w 268"/>
                  <a:gd name="T33" fmla="*/ 214 h 250"/>
                  <a:gd name="T34" fmla="*/ 27 w 268"/>
                  <a:gd name="T35" fmla="*/ 205 h 250"/>
                  <a:gd name="T36" fmla="*/ 27 w 268"/>
                  <a:gd name="T37" fmla="*/ 196 h 250"/>
                  <a:gd name="T38" fmla="*/ 18 w 268"/>
                  <a:gd name="T39" fmla="*/ 178 h 250"/>
                  <a:gd name="T40" fmla="*/ 27 w 268"/>
                  <a:gd name="T41" fmla="*/ 178 h 250"/>
                  <a:gd name="T42" fmla="*/ 36 w 268"/>
                  <a:gd name="T43" fmla="*/ 187 h 250"/>
                  <a:gd name="T44" fmla="*/ 45 w 268"/>
                  <a:gd name="T45" fmla="*/ 178 h 250"/>
                  <a:gd name="T46" fmla="*/ 54 w 268"/>
                  <a:gd name="T47" fmla="*/ 160 h 250"/>
                  <a:gd name="T48" fmla="*/ 63 w 268"/>
                  <a:gd name="T49" fmla="*/ 143 h 250"/>
                  <a:gd name="T50" fmla="*/ 63 w 268"/>
                  <a:gd name="T51" fmla="*/ 125 h 250"/>
                  <a:gd name="T52" fmla="*/ 72 w 268"/>
                  <a:gd name="T53" fmla="*/ 107 h 250"/>
                  <a:gd name="T54" fmla="*/ 80 w 268"/>
                  <a:gd name="T55" fmla="*/ 89 h 250"/>
                  <a:gd name="T56" fmla="*/ 89 w 268"/>
                  <a:gd name="T57" fmla="*/ 71 h 250"/>
                  <a:gd name="T58" fmla="*/ 98 w 268"/>
                  <a:gd name="T59" fmla="*/ 62 h 250"/>
                  <a:gd name="T60" fmla="*/ 107 w 268"/>
                  <a:gd name="T61" fmla="*/ 53 h 250"/>
                  <a:gd name="T62" fmla="*/ 125 w 268"/>
                  <a:gd name="T63" fmla="*/ 44 h 250"/>
                  <a:gd name="T64" fmla="*/ 134 w 268"/>
                  <a:gd name="T65" fmla="*/ 35 h 250"/>
                  <a:gd name="T66" fmla="*/ 143 w 268"/>
                  <a:gd name="T67" fmla="*/ 35 h 250"/>
                  <a:gd name="T68" fmla="*/ 152 w 268"/>
                  <a:gd name="T69" fmla="*/ 26 h 250"/>
                  <a:gd name="T70" fmla="*/ 161 w 268"/>
                  <a:gd name="T71" fmla="*/ 18 h 250"/>
                  <a:gd name="T72" fmla="*/ 161 w 268"/>
                  <a:gd name="T73" fmla="*/ 9 h 250"/>
                  <a:gd name="T74" fmla="*/ 170 w 268"/>
                  <a:gd name="T75" fmla="*/ 0 h 250"/>
                  <a:gd name="T76" fmla="*/ 188 w 268"/>
                  <a:gd name="T77" fmla="*/ 0 h 250"/>
                  <a:gd name="T78" fmla="*/ 197 w 268"/>
                  <a:gd name="T79" fmla="*/ 0 h 250"/>
                  <a:gd name="T80" fmla="*/ 214 w 268"/>
                  <a:gd name="T81" fmla="*/ 0 h 250"/>
                  <a:gd name="T82" fmla="*/ 223 w 268"/>
                  <a:gd name="T83" fmla="*/ 0 h 250"/>
                  <a:gd name="T84" fmla="*/ 223 w 268"/>
                  <a:gd name="T85" fmla="*/ 0 h 250"/>
                  <a:gd name="T86" fmla="*/ 232 w 268"/>
                  <a:gd name="T87" fmla="*/ 0 h 25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</a:cxnLst>
                <a:rect l="0" t="0" r="r" b="b"/>
                <a:pathLst>
                  <a:path w="268" h="250">
                    <a:moveTo>
                      <a:pt x="232" y="0"/>
                    </a:moveTo>
                    <a:lnTo>
                      <a:pt x="223" y="9"/>
                    </a:lnTo>
                    <a:lnTo>
                      <a:pt x="232" y="26"/>
                    </a:lnTo>
                    <a:lnTo>
                      <a:pt x="241" y="35"/>
                    </a:lnTo>
                    <a:lnTo>
                      <a:pt x="241" y="53"/>
                    </a:lnTo>
                    <a:lnTo>
                      <a:pt x="250" y="62"/>
                    </a:lnTo>
                    <a:lnTo>
                      <a:pt x="268" y="71"/>
                    </a:lnTo>
                    <a:lnTo>
                      <a:pt x="268" y="80"/>
                    </a:lnTo>
                    <a:lnTo>
                      <a:pt x="268" y="98"/>
                    </a:lnTo>
                    <a:lnTo>
                      <a:pt x="259" y="107"/>
                    </a:lnTo>
                    <a:lnTo>
                      <a:pt x="241" y="107"/>
                    </a:lnTo>
                    <a:lnTo>
                      <a:pt x="223" y="107"/>
                    </a:lnTo>
                    <a:lnTo>
                      <a:pt x="197" y="116"/>
                    </a:lnTo>
                    <a:lnTo>
                      <a:pt x="197" y="134"/>
                    </a:lnTo>
                    <a:lnTo>
                      <a:pt x="188" y="134"/>
                    </a:lnTo>
                    <a:lnTo>
                      <a:pt x="179" y="143"/>
                    </a:lnTo>
                    <a:lnTo>
                      <a:pt x="170" y="151"/>
                    </a:lnTo>
                    <a:lnTo>
                      <a:pt x="161" y="160"/>
                    </a:lnTo>
                    <a:lnTo>
                      <a:pt x="161" y="169"/>
                    </a:lnTo>
                    <a:lnTo>
                      <a:pt x="161" y="178"/>
                    </a:lnTo>
                    <a:lnTo>
                      <a:pt x="152" y="178"/>
                    </a:lnTo>
                    <a:lnTo>
                      <a:pt x="152" y="196"/>
                    </a:lnTo>
                    <a:lnTo>
                      <a:pt x="152" y="205"/>
                    </a:lnTo>
                    <a:lnTo>
                      <a:pt x="143" y="205"/>
                    </a:lnTo>
                    <a:lnTo>
                      <a:pt x="125" y="214"/>
                    </a:lnTo>
                    <a:lnTo>
                      <a:pt x="107" y="223"/>
                    </a:lnTo>
                    <a:lnTo>
                      <a:pt x="89" y="223"/>
                    </a:lnTo>
                    <a:lnTo>
                      <a:pt x="72" y="223"/>
                    </a:lnTo>
                    <a:lnTo>
                      <a:pt x="63" y="223"/>
                    </a:lnTo>
                    <a:lnTo>
                      <a:pt x="63" y="241"/>
                    </a:lnTo>
                    <a:lnTo>
                      <a:pt x="54" y="241"/>
                    </a:lnTo>
                    <a:lnTo>
                      <a:pt x="45" y="241"/>
                    </a:lnTo>
                    <a:lnTo>
                      <a:pt x="36" y="250"/>
                    </a:lnTo>
                    <a:lnTo>
                      <a:pt x="27" y="250"/>
                    </a:lnTo>
                    <a:lnTo>
                      <a:pt x="9" y="250"/>
                    </a:lnTo>
                    <a:lnTo>
                      <a:pt x="9" y="241"/>
                    </a:lnTo>
                    <a:lnTo>
                      <a:pt x="9" y="241"/>
                    </a:lnTo>
                    <a:lnTo>
                      <a:pt x="9" y="241"/>
                    </a:lnTo>
                    <a:lnTo>
                      <a:pt x="9" y="241"/>
                    </a:lnTo>
                    <a:lnTo>
                      <a:pt x="9" y="241"/>
                    </a:lnTo>
                    <a:lnTo>
                      <a:pt x="9" y="241"/>
                    </a:lnTo>
                    <a:lnTo>
                      <a:pt x="9" y="232"/>
                    </a:lnTo>
                    <a:lnTo>
                      <a:pt x="9" y="232"/>
                    </a:lnTo>
                    <a:lnTo>
                      <a:pt x="0" y="241"/>
                    </a:lnTo>
                    <a:lnTo>
                      <a:pt x="9" y="232"/>
                    </a:lnTo>
                    <a:lnTo>
                      <a:pt x="9" y="232"/>
                    </a:lnTo>
                    <a:lnTo>
                      <a:pt x="18" y="232"/>
                    </a:lnTo>
                    <a:lnTo>
                      <a:pt x="18" y="223"/>
                    </a:lnTo>
                    <a:lnTo>
                      <a:pt x="18" y="223"/>
                    </a:lnTo>
                    <a:lnTo>
                      <a:pt x="27" y="223"/>
                    </a:lnTo>
                    <a:lnTo>
                      <a:pt x="27" y="214"/>
                    </a:lnTo>
                    <a:lnTo>
                      <a:pt x="27" y="214"/>
                    </a:lnTo>
                    <a:lnTo>
                      <a:pt x="27" y="214"/>
                    </a:lnTo>
                    <a:lnTo>
                      <a:pt x="27" y="205"/>
                    </a:lnTo>
                    <a:lnTo>
                      <a:pt x="27" y="205"/>
                    </a:lnTo>
                    <a:lnTo>
                      <a:pt x="27" y="196"/>
                    </a:lnTo>
                    <a:lnTo>
                      <a:pt x="27" y="196"/>
                    </a:lnTo>
                    <a:lnTo>
                      <a:pt x="18" y="187"/>
                    </a:lnTo>
                    <a:lnTo>
                      <a:pt x="18" y="187"/>
                    </a:lnTo>
                    <a:lnTo>
                      <a:pt x="18" y="178"/>
                    </a:lnTo>
                    <a:lnTo>
                      <a:pt x="27" y="178"/>
                    </a:lnTo>
                    <a:lnTo>
                      <a:pt x="27" y="178"/>
                    </a:lnTo>
                    <a:lnTo>
                      <a:pt x="27" y="178"/>
                    </a:lnTo>
                    <a:lnTo>
                      <a:pt x="27" y="178"/>
                    </a:lnTo>
                    <a:lnTo>
                      <a:pt x="36" y="187"/>
                    </a:lnTo>
                    <a:lnTo>
                      <a:pt x="36" y="187"/>
                    </a:lnTo>
                    <a:lnTo>
                      <a:pt x="45" y="187"/>
                    </a:lnTo>
                    <a:lnTo>
                      <a:pt x="45" y="178"/>
                    </a:lnTo>
                    <a:lnTo>
                      <a:pt x="45" y="178"/>
                    </a:lnTo>
                    <a:lnTo>
                      <a:pt x="45" y="169"/>
                    </a:lnTo>
                    <a:lnTo>
                      <a:pt x="54" y="169"/>
                    </a:lnTo>
                    <a:lnTo>
                      <a:pt x="54" y="160"/>
                    </a:lnTo>
                    <a:lnTo>
                      <a:pt x="54" y="151"/>
                    </a:lnTo>
                    <a:lnTo>
                      <a:pt x="54" y="143"/>
                    </a:lnTo>
                    <a:lnTo>
                      <a:pt x="63" y="143"/>
                    </a:lnTo>
                    <a:lnTo>
                      <a:pt x="63" y="134"/>
                    </a:lnTo>
                    <a:lnTo>
                      <a:pt x="63" y="125"/>
                    </a:lnTo>
                    <a:lnTo>
                      <a:pt x="63" y="125"/>
                    </a:lnTo>
                    <a:lnTo>
                      <a:pt x="72" y="116"/>
                    </a:lnTo>
                    <a:lnTo>
                      <a:pt x="72" y="107"/>
                    </a:lnTo>
                    <a:lnTo>
                      <a:pt x="72" y="107"/>
                    </a:lnTo>
                    <a:lnTo>
                      <a:pt x="80" y="98"/>
                    </a:lnTo>
                    <a:lnTo>
                      <a:pt x="80" y="89"/>
                    </a:lnTo>
                    <a:lnTo>
                      <a:pt x="80" y="89"/>
                    </a:lnTo>
                    <a:lnTo>
                      <a:pt x="89" y="80"/>
                    </a:lnTo>
                    <a:lnTo>
                      <a:pt x="89" y="80"/>
                    </a:lnTo>
                    <a:lnTo>
                      <a:pt x="89" y="71"/>
                    </a:lnTo>
                    <a:lnTo>
                      <a:pt x="89" y="71"/>
                    </a:lnTo>
                    <a:lnTo>
                      <a:pt x="89" y="62"/>
                    </a:lnTo>
                    <a:lnTo>
                      <a:pt x="98" y="62"/>
                    </a:lnTo>
                    <a:lnTo>
                      <a:pt x="98" y="53"/>
                    </a:lnTo>
                    <a:lnTo>
                      <a:pt x="98" y="53"/>
                    </a:lnTo>
                    <a:lnTo>
                      <a:pt x="107" y="53"/>
                    </a:lnTo>
                    <a:lnTo>
                      <a:pt x="107" y="44"/>
                    </a:lnTo>
                    <a:lnTo>
                      <a:pt x="116" y="44"/>
                    </a:lnTo>
                    <a:lnTo>
                      <a:pt x="125" y="44"/>
                    </a:lnTo>
                    <a:lnTo>
                      <a:pt x="125" y="44"/>
                    </a:lnTo>
                    <a:lnTo>
                      <a:pt x="134" y="44"/>
                    </a:lnTo>
                    <a:lnTo>
                      <a:pt x="134" y="35"/>
                    </a:lnTo>
                    <a:lnTo>
                      <a:pt x="143" y="35"/>
                    </a:lnTo>
                    <a:lnTo>
                      <a:pt x="143" y="35"/>
                    </a:lnTo>
                    <a:lnTo>
                      <a:pt x="143" y="35"/>
                    </a:lnTo>
                    <a:lnTo>
                      <a:pt x="152" y="26"/>
                    </a:lnTo>
                    <a:lnTo>
                      <a:pt x="152" y="26"/>
                    </a:lnTo>
                    <a:lnTo>
                      <a:pt x="152" y="26"/>
                    </a:lnTo>
                    <a:lnTo>
                      <a:pt x="152" y="18"/>
                    </a:lnTo>
                    <a:lnTo>
                      <a:pt x="152" y="18"/>
                    </a:lnTo>
                    <a:lnTo>
                      <a:pt x="161" y="18"/>
                    </a:lnTo>
                    <a:lnTo>
                      <a:pt x="161" y="18"/>
                    </a:lnTo>
                    <a:lnTo>
                      <a:pt x="161" y="9"/>
                    </a:lnTo>
                    <a:lnTo>
                      <a:pt x="161" y="9"/>
                    </a:lnTo>
                    <a:lnTo>
                      <a:pt x="170" y="9"/>
                    </a:lnTo>
                    <a:lnTo>
                      <a:pt x="170" y="9"/>
                    </a:lnTo>
                    <a:lnTo>
                      <a:pt x="170" y="0"/>
                    </a:lnTo>
                    <a:lnTo>
                      <a:pt x="179" y="0"/>
                    </a:lnTo>
                    <a:lnTo>
                      <a:pt x="179" y="0"/>
                    </a:lnTo>
                    <a:lnTo>
                      <a:pt x="188" y="0"/>
                    </a:lnTo>
                    <a:lnTo>
                      <a:pt x="188" y="0"/>
                    </a:lnTo>
                    <a:lnTo>
                      <a:pt x="197" y="0"/>
                    </a:lnTo>
                    <a:lnTo>
                      <a:pt x="197" y="0"/>
                    </a:lnTo>
                    <a:lnTo>
                      <a:pt x="205" y="0"/>
                    </a:lnTo>
                    <a:lnTo>
                      <a:pt x="205" y="0"/>
                    </a:lnTo>
                    <a:lnTo>
                      <a:pt x="214" y="0"/>
                    </a:lnTo>
                    <a:lnTo>
                      <a:pt x="214" y="0"/>
                    </a:lnTo>
                    <a:lnTo>
                      <a:pt x="214" y="0"/>
                    </a:lnTo>
                    <a:lnTo>
                      <a:pt x="223" y="0"/>
                    </a:lnTo>
                    <a:lnTo>
                      <a:pt x="223" y="0"/>
                    </a:lnTo>
                    <a:lnTo>
                      <a:pt x="223" y="0"/>
                    </a:lnTo>
                    <a:lnTo>
                      <a:pt x="223" y="0"/>
                    </a:lnTo>
                    <a:lnTo>
                      <a:pt x="223" y="0"/>
                    </a:lnTo>
                    <a:lnTo>
                      <a:pt x="223" y="0"/>
                    </a:lnTo>
                    <a:lnTo>
                      <a:pt x="232" y="0"/>
                    </a:lnTo>
                  </a:path>
                </a:pathLst>
              </a:custGeom>
              <a:solidFill>
                <a:schemeClr val="accent6">
                  <a:lumMod val="50000"/>
                </a:schemeClr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33" name="Freeform 56">
                <a:extLst>
                  <a:ext uri="{FF2B5EF4-FFF2-40B4-BE49-F238E27FC236}">
                    <a16:creationId xmlns:a16="http://schemas.microsoft.com/office/drawing/2014/main" id="{00000000-0008-0000-0C00-000021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54" y="5926"/>
                <a:ext cx="1447" cy="1676"/>
              </a:xfrm>
              <a:custGeom>
                <a:avLst/>
                <a:gdLst>
                  <a:gd name="T0" fmla="*/ 18 w 652"/>
                  <a:gd name="T1" fmla="*/ 661 h 706"/>
                  <a:gd name="T2" fmla="*/ 18 w 652"/>
                  <a:gd name="T3" fmla="*/ 643 h 706"/>
                  <a:gd name="T4" fmla="*/ 27 w 652"/>
                  <a:gd name="T5" fmla="*/ 617 h 706"/>
                  <a:gd name="T6" fmla="*/ 35 w 652"/>
                  <a:gd name="T7" fmla="*/ 608 h 706"/>
                  <a:gd name="T8" fmla="*/ 53 w 652"/>
                  <a:gd name="T9" fmla="*/ 599 h 706"/>
                  <a:gd name="T10" fmla="*/ 44 w 652"/>
                  <a:gd name="T11" fmla="*/ 581 h 706"/>
                  <a:gd name="T12" fmla="*/ 44 w 652"/>
                  <a:gd name="T13" fmla="*/ 554 h 706"/>
                  <a:gd name="T14" fmla="*/ 27 w 652"/>
                  <a:gd name="T15" fmla="*/ 536 h 706"/>
                  <a:gd name="T16" fmla="*/ 18 w 652"/>
                  <a:gd name="T17" fmla="*/ 518 h 706"/>
                  <a:gd name="T18" fmla="*/ 9 w 652"/>
                  <a:gd name="T19" fmla="*/ 500 h 706"/>
                  <a:gd name="T20" fmla="*/ 27 w 652"/>
                  <a:gd name="T21" fmla="*/ 500 h 706"/>
                  <a:gd name="T22" fmla="*/ 53 w 652"/>
                  <a:gd name="T23" fmla="*/ 500 h 706"/>
                  <a:gd name="T24" fmla="*/ 53 w 652"/>
                  <a:gd name="T25" fmla="*/ 483 h 706"/>
                  <a:gd name="T26" fmla="*/ 44 w 652"/>
                  <a:gd name="T27" fmla="*/ 474 h 706"/>
                  <a:gd name="T28" fmla="*/ 18 w 652"/>
                  <a:gd name="T29" fmla="*/ 465 h 706"/>
                  <a:gd name="T30" fmla="*/ 9 w 652"/>
                  <a:gd name="T31" fmla="*/ 474 h 706"/>
                  <a:gd name="T32" fmla="*/ 9 w 652"/>
                  <a:gd name="T33" fmla="*/ 447 h 706"/>
                  <a:gd name="T34" fmla="*/ 9 w 652"/>
                  <a:gd name="T35" fmla="*/ 429 h 706"/>
                  <a:gd name="T36" fmla="*/ 27 w 652"/>
                  <a:gd name="T37" fmla="*/ 420 h 706"/>
                  <a:gd name="T38" fmla="*/ 44 w 652"/>
                  <a:gd name="T39" fmla="*/ 411 h 706"/>
                  <a:gd name="T40" fmla="*/ 53 w 652"/>
                  <a:gd name="T41" fmla="*/ 384 h 706"/>
                  <a:gd name="T42" fmla="*/ 71 w 652"/>
                  <a:gd name="T43" fmla="*/ 375 h 706"/>
                  <a:gd name="T44" fmla="*/ 89 w 652"/>
                  <a:gd name="T45" fmla="*/ 366 h 706"/>
                  <a:gd name="T46" fmla="*/ 107 w 652"/>
                  <a:gd name="T47" fmla="*/ 349 h 706"/>
                  <a:gd name="T48" fmla="*/ 98 w 652"/>
                  <a:gd name="T49" fmla="*/ 322 h 706"/>
                  <a:gd name="T50" fmla="*/ 89 w 652"/>
                  <a:gd name="T51" fmla="*/ 295 h 706"/>
                  <a:gd name="T52" fmla="*/ 80 w 652"/>
                  <a:gd name="T53" fmla="*/ 304 h 706"/>
                  <a:gd name="T54" fmla="*/ 71 w 652"/>
                  <a:gd name="T55" fmla="*/ 295 h 706"/>
                  <a:gd name="T56" fmla="*/ 89 w 652"/>
                  <a:gd name="T57" fmla="*/ 268 h 706"/>
                  <a:gd name="T58" fmla="*/ 107 w 652"/>
                  <a:gd name="T59" fmla="*/ 250 h 706"/>
                  <a:gd name="T60" fmla="*/ 116 w 652"/>
                  <a:gd name="T61" fmla="*/ 233 h 706"/>
                  <a:gd name="T62" fmla="*/ 134 w 652"/>
                  <a:gd name="T63" fmla="*/ 224 h 706"/>
                  <a:gd name="T64" fmla="*/ 161 w 652"/>
                  <a:gd name="T65" fmla="*/ 206 h 706"/>
                  <a:gd name="T66" fmla="*/ 178 w 652"/>
                  <a:gd name="T67" fmla="*/ 197 h 706"/>
                  <a:gd name="T68" fmla="*/ 187 w 652"/>
                  <a:gd name="T69" fmla="*/ 188 h 706"/>
                  <a:gd name="T70" fmla="*/ 196 w 652"/>
                  <a:gd name="T71" fmla="*/ 179 h 706"/>
                  <a:gd name="T72" fmla="*/ 205 w 652"/>
                  <a:gd name="T73" fmla="*/ 161 h 706"/>
                  <a:gd name="T74" fmla="*/ 214 w 652"/>
                  <a:gd name="T75" fmla="*/ 152 h 706"/>
                  <a:gd name="T76" fmla="*/ 232 w 652"/>
                  <a:gd name="T77" fmla="*/ 134 h 706"/>
                  <a:gd name="T78" fmla="*/ 259 w 652"/>
                  <a:gd name="T79" fmla="*/ 125 h 706"/>
                  <a:gd name="T80" fmla="*/ 294 w 652"/>
                  <a:gd name="T81" fmla="*/ 116 h 706"/>
                  <a:gd name="T82" fmla="*/ 321 w 652"/>
                  <a:gd name="T83" fmla="*/ 116 h 706"/>
                  <a:gd name="T84" fmla="*/ 348 w 652"/>
                  <a:gd name="T85" fmla="*/ 108 h 706"/>
                  <a:gd name="T86" fmla="*/ 375 w 652"/>
                  <a:gd name="T87" fmla="*/ 90 h 706"/>
                  <a:gd name="T88" fmla="*/ 393 w 652"/>
                  <a:gd name="T89" fmla="*/ 72 h 706"/>
                  <a:gd name="T90" fmla="*/ 402 w 652"/>
                  <a:gd name="T91" fmla="*/ 45 h 706"/>
                  <a:gd name="T92" fmla="*/ 420 w 652"/>
                  <a:gd name="T93" fmla="*/ 36 h 706"/>
                  <a:gd name="T94" fmla="*/ 420 w 652"/>
                  <a:gd name="T95" fmla="*/ 18 h 706"/>
                  <a:gd name="T96" fmla="*/ 437 w 652"/>
                  <a:gd name="T97" fmla="*/ 18 h 706"/>
                  <a:gd name="T98" fmla="*/ 455 w 652"/>
                  <a:gd name="T99" fmla="*/ 9 h 706"/>
                  <a:gd name="T100" fmla="*/ 464 w 652"/>
                  <a:gd name="T101" fmla="*/ 0 h 706"/>
                  <a:gd name="T102" fmla="*/ 518 w 652"/>
                  <a:gd name="T103" fmla="*/ 45 h 706"/>
                  <a:gd name="T104" fmla="*/ 545 w 652"/>
                  <a:gd name="T105" fmla="*/ 188 h 706"/>
                  <a:gd name="T106" fmla="*/ 652 w 652"/>
                  <a:gd name="T107" fmla="*/ 268 h 706"/>
                  <a:gd name="T108" fmla="*/ 571 w 652"/>
                  <a:gd name="T109" fmla="*/ 331 h 706"/>
                  <a:gd name="T110" fmla="*/ 527 w 652"/>
                  <a:gd name="T111" fmla="*/ 411 h 706"/>
                  <a:gd name="T112" fmla="*/ 607 w 652"/>
                  <a:gd name="T113" fmla="*/ 500 h 706"/>
                  <a:gd name="T114" fmla="*/ 625 w 652"/>
                  <a:gd name="T115" fmla="*/ 617 h 706"/>
                  <a:gd name="T116" fmla="*/ 500 w 652"/>
                  <a:gd name="T117" fmla="*/ 652 h 706"/>
                  <a:gd name="T118" fmla="*/ 384 w 652"/>
                  <a:gd name="T119" fmla="*/ 643 h 706"/>
                  <a:gd name="T120" fmla="*/ 250 w 652"/>
                  <a:gd name="T121" fmla="*/ 670 h 706"/>
                  <a:gd name="T122" fmla="*/ 161 w 652"/>
                  <a:gd name="T123" fmla="*/ 679 h 706"/>
                  <a:gd name="T124" fmla="*/ 98 w 652"/>
                  <a:gd name="T125" fmla="*/ 706 h 7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652" h="706">
                    <a:moveTo>
                      <a:pt x="0" y="679"/>
                    </a:moveTo>
                    <a:lnTo>
                      <a:pt x="0" y="679"/>
                    </a:lnTo>
                    <a:lnTo>
                      <a:pt x="9" y="670"/>
                    </a:lnTo>
                    <a:lnTo>
                      <a:pt x="9" y="670"/>
                    </a:lnTo>
                    <a:lnTo>
                      <a:pt x="9" y="670"/>
                    </a:lnTo>
                    <a:lnTo>
                      <a:pt x="9" y="661"/>
                    </a:lnTo>
                    <a:lnTo>
                      <a:pt x="18" y="661"/>
                    </a:lnTo>
                    <a:lnTo>
                      <a:pt x="18" y="661"/>
                    </a:lnTo>
                    <a:lnTo>
                      <a:pt x="18" y="652"/>
                    </a:lnTo>
                    <a:lnTo>
                      <a:pt x="18" y="652"/>
                    </a:lnTo>
                    <a:lnTo>
                      <a:pt x="18" y="652"/>
                    </a:lnTo>
                    <a:lnTo>
                      <a:pt x="18" y="643"/>
                    </a:lnTo>
                    <a:lnTo>
                      <a:pt x="18" y="643"/>
                    </a:lnTo>
                    <a:lnTo>
                      <a:pt x="18" y="643"/>
                    </a:lnTo>
                    <a:lnTo>
                      <a:pt x="18" y="634"/>
                    </a:lnTo>
                    <a:lnTo>
                      <a:pt x="27" y="634"/>
                    </a:lnTo>
                    <a:lnTo>
                      <a:pt x="27" y="634"/>
                    </a:lnTo>
                    <a:lnTo>
                      <a:pt x="27" y="625"/>
                    </a:lnTo>
                    <a:lnTo>
                      <a:pt x="27" y="625"/>
                    </a:lnTo>
                    <a:lnTo>
                      <a:pt x="27" y="625"/>
                    </a:lnTo>
                    <a:lnTo>
                      <a:pt x="27" y="617"/>
                    </a:lnTo>
                    <a:lnTo>
                      <a:pt x="27" y="617"/>
                    </a:lnTo>
                    <a:lnTo>
                      <a:pt x="27" y="617"/>
                    </a:lnTo>
                    <a:lnTo>
                      <a:pt x="27" y="617"/>
                    </a:lnTo>
                    <a:lnTo>
                      <a:pt x="35" y="608"/>
                    </a:lnTo>
                    <a:lnTo>
                      <a:pt x="35" y="608"/>
                    </a:lnTo>
                    <a:lnTo>
                      <a:pt x="35" y="608"/>
                    </a:lnTo>
                    <a:lnTo>
                      <a:pt x="35" y="608"/>
                    </a:lnTo>
                    <a:lnTo>
                      <a:pt x="44" y="608"/>
                    </a:lnTo>
                    <a:lnTo>
                      <a:pt x="44" y="608"/>
                    </a:lnTo>
                    <a:lnTo>
                      <a:pt x="44" y="608"/>
                    </a:lnTo>
                    <a:lnTo>
                      <a:pt x="44" y="599"/>
                    </a:lnTo>
                    <a:lnTo>
                      <a:pt x="44" y="599"/>
                    </a:lnTo>
                    <a:lnTo>
                      <a:pt x="53" y="599"/>
                    </a:lnTo>
                    <a:lnTo>
                      <a:pt x="53" y="599"/>
                    </a:lnTo>
                    <a:lnTo>
                      <a:pt x="53" y="599"/>
                    </a:lnTo>
                    <a:lnTo>
                      <a:pt x="53" y="590"/>
                    </a:lnTo>
                    <a:lnTo>
                      <a:pt x="44" y="590"/>
                    </a:lnTo>
                    <a:lnTo>
                      <a:pt x="44" y="590"/>
                    </a:lnTo>
                    <a:lnTo>
                      <a:pt x="44" y="581"/>
                    </a:lnTo>
                    <a:lnTo>
                      <a:pt x="44" y="581"/>
                    </a:lnTo>
                    <a:lnTo>
                      <a:pt x="44" y="581"/>
                    </a:lnTo>
                    <a:lnTo>
                      <a:pt x="44" y="572"/>
                    </a:lnTo>
                    <a:lnTo>
                      <a:pt x="44" y="572"/>
                    </a:lnTo>
                    <a:lnTo>
                      <a:pt x="44" y="563"/>
                    </a:lnTo>
                    <a:lnTo>
                      <a:pt x="44" y="563"/>
                    </a:lnTo>
                    <a:lnTo>
                      <a:pt x="44" y="554"/>
                    </a:lnTo>
                    <a:lnTo>
                      <a:pt x="44" y="554"/>
                    </a:lnTo>
                    <a:lnTo>
                      <a:pt x="44" y="554"/>
                    </a:lnTo>
                    <a:lnTo>
                      <a:pt x="44" y="545"/>
                    </a:lnTo>
                    <a:lnTo>
                      <a:pt x="35" y="545"/>
                    </a:lnTo>
                    <a:lnTo>
                      <a:pt x="35" y="545"/>
                    </a:lnTo>
                    <a:lnTo>
                      <a:pt x="35" y="545"/>
                    </a:lnTo>
                    <a:lnTo>
                      <a:pt x="35" y="536"/>
                    </a:lnTo>
                    <a:lnTo>
                      <a:pt x="35" y="536"/>
                    </a:lnTo>
                    <a:lnTo>
                      <a:pt x="27" y="536"/>
                    </a:lnTo>
                    <a:lnTo>
                      <a:pt x="27" y="536"/>
                    </a:lnTo>
                    <a:lnTo>
                      <a:pt x="27" y="536"/>
                    </a:lnTo>
                    <a:lnTo>
                      <a:pt x="27" y="527"/>
                    </a:lnTo>
                    <a:lnTo>
                      <a:pt x="18" y="527"/>
                    </a:lnTo>
                    <a:lnTo>
                      <a:pt x="18" y="527"/>
                    </a:lnTo>
                    <a:lnTo>
                      <a:pt x="18" y="518"/>
                    </a:lnTo>
                    <a:lnTo>
                      <a:pt x="18" y="518"/>
                    </a:lnTo>
                    <a:lnTo>
                      <a:pt x="9" y="518"/>
                    </a:lnTo>
                    <a:lnTo>
                      <a:pt x="9" y="509"/>
                    </a:lnTo>
                    <a:lnTo>
                      <a:pt x="9" y="509"/>
                    </a:lnTo>
                    <a:lnTo>
                      <a:pt x="9" y="509"/>
                    </a:lnTo>
                    <a:lnTo>
                      <a:pt x="9" y="509"/>
                    </a:lnTo>
                    <a:lnTo>
                      <a:pt x="9" y="509"/>
                    </a:lnTo>
                    <a:lnTo>
                      <a:pt x="9" y="500"/>
                    </a:lnTo>
                    <a:lnTo>
                      <a:pt x="9" y="500"/>
                    </a:lnTo>
                    <a:lnTo>
                      <a:pt x="9" y="500"/>
                    </a:lnTo>
                    <a:lnTo>
                      <a:pt x="9" y="500"/>
                    </a:lnTo>
                    <a:lnTo>
                      <a:pt x="18" y="500"/>
                    </a:lnTo>
                    <a:lnTo>
                      <a:pt x="18" y="500"/>
                    </a:lnTo>
                    <a:lnTo>
                      <a:pt x="18" y="500"/>
                    </a:lnTo>
                    <a:lnTo>
                      <a:pt x="27" y="500"/>
                    </a:lnTo>
                    <a:lnTo>
                      <a:pt x="27" y="500"/>
                    </a:lnTo>
                    <a:lnTo>
                      <a:pt x="35" y="509"/>
                    </a:lnTo>
                    <a:lnTo>
                      <a:pt x="35" y="509"/>
                    </a:lnTo>
                    <a:lnTo>
                      <a:pt x="44" y="509"/>
                    </a:lnTo>
                    <a:lnTo>
                      <a:pt x="44" y="500"/>
                    </a:lnTo>
                    <a:lnTo>
                      <a:pt x="44" y="500"/>
                    </a:lnTo>
                    <a:lnTo>
                      <a:pt x="53" y="500"/>
                    </a:lnTo>
                    <a:lnTo>
                      <a:pt x="53" y="491"/>
                    </a:lnTo>
                    <a:lnTo>
                      <a:pt x="53" y="491"/>
                    </a:lnTo>
                    <a:lnTo>
                      <a:pt x="53" y="491"/>
                    </a:lnTo>
                    <a:lnTo>
                      <a:pt x="53" y="483"/>
                    </a:lnTo>
                    <a:lnTo>
                      <a:pt x="53" y="483"/>
                    </a:lnTo>
                    <a:lnTo>
                      <a:pt x="53" y="483"/>
                    </a:lnTo>
                    <a:lnTo>
                      <a:pt x="53" y="483"/>
                    </a:lnTo>
                    <a:lnTo>
                      <a:pt x="53" y="483"/>
                    </a:lnTo>
                    <a:lnTo>
                      <a:pt x="44" y="483"/>
                    </a:lnTo>
                    <a:lnTo>
                      <a:pt x="44" y="483"/>
                    </a:lnTo>
                    <a:lnTo>
                      <a:pt x="44" y="483"/>
                    </a:lnTo>
                    <a:lnTo>
                      <a:pt x="44" y="483"/>
                    </a:lnTo>
                    <a:lnTo>
                      <a:pt x="44" y="483"/>
                    </a:lnTo>
                    <a:lnTo>
                      <a:pt x="44" y="474"/>
                    </a:lnTo>
                    <a:lnTo>
                      <a:pt x="35" y="474"/>
                    </a:lnTo>
                    <a:lnTo>
                      <a:pt x="35" y="474"/>
                    </a:lnTo>
                    <a:lnTo>
                      <a:pt x="35" y="474"/>
                    </a:lnTo>
                    <a:lnTo>
                      <a:pt x="27" y="474"/>
                    </a:lnTo>
                    <a:lnTo>
                      <a:pt x="27" y="474"/>
                    </a:lnTo>
                    <a:lnTo>
                      <a:pt x="27" y="465"/>
                    </a:lnTo>
                    <a:lnTo>
                      <a:pt x="18" y="465"/>
                    </a:lnTo>
                    <a:lnTo>
                      <a:pt x="18" y="465"/>
                    </a:lnTo>
                    <a:lnTo>
                      <a:pt x="18" y="465"/>
                    </a:lnTo>
                    <a:lnTo>
                      <a:pt x="18" y="465"/>
                    </a:lnTo>
                    <a:lnTo>
                      <a:pt x="9" y="474"/>
                    </a:lnTo>
                    <a:lnTo>
                      <a:pt x="9" y="474"/>
                    </a:lnTo>
                    <a:lnTo>
                      <a:pt x="9" y="474"/>
                    </a:lnTo>
                    <a:lnTo>
                      <a:pt x="9" y="474"/>
                    </a:lnTo>
                    <a:lnTo>
                      <a:pt x="9" y="465"/>
                    </a:lnTo>
                    <a:lnTo>
                      <a:pt x="9" y="465"/>
                    </a:lnTo>
                    <a:lnTo>
                      <a:pt x="9" y="465"/>
                    </a:lnTo>
                    <a:lnTo>
                      <a:pt x="9" y="456"/>
                    </a:lnTo>
                    <a:lnTo>
                      <a:pt x="9" y="456"/>
                    </a:lnTo>
                    <a:lnTo>
                      <a:pt x="9" y="456"/>
                    </a:lnTo>
                    <a:lnTo>
                      <a:pt x="9" y="447"/>
                    </a:lnTo>
                    <a:lnTo>
                      <a:pt x="9" y="447"/>
                    </a:lnTo>
                    <a:lnTo>
                      <a:pt x="9" y="447"/>
                    </a:lnTo>
                    <a:lnTo>
                      <a:pt x="9" y="438"/>
                    </a:lnTo>
                    <a:lnTo>
                      <a:pt x="9" y="438"/>
                    </a:lnTo>
                    <a:lnTo>
                      <a:pt x="9" y="438"/>
                    </a:lnTo>
                    <a:lnTo>
                      <a:pt x="9" y="429"/>
                    </a:lnTo>
                    <a:lnTo>
                      <a:pt x="9" y="429"/>
                    </a:lnTo>
                    <a:lnTo>
                      <a:pt x="18" y="429"/>
                    </a:lnTo>
                    <a:lnTo>
                      <a:pt x="18" y="420"/>
                    </a:lnTo>
                    <a:lnTo>
                      <a:pt x="18" y="420"/>
                    </a:lnTo>
                    <a:lnTo>
                      <a:pt x="18" y="420"/>
                    </a:lnTo>
                    <a:lnTo>
                      <a:pt x="27" y="420"/>
                    </a:lnTo>
                    <a:lnTo>
                      <a:pt x="27" y="420"/>
                    </a:lnTo>
                    <a:lnTo>
                      <a:pt x="27" y="420"/>
                    </a:lnTo>
                    <a:lnTo>
                      <a:pt x="35" y="420"/>
                    </a:lnTo>
                    <a:lnTo>
                      <a:pt x="35" y="420"/>
                    </a:lnTo>
                    <a:lnTo>
                      <a:pt x="35" y="420"/>
                    </a:lnTo>
                    <a:lnTo>
                      <a:pt x="44" y="420"/>
                    </a:lnTo>
                    <a:lnTo>
                      <a:pt x="44" y="420"/>
                    </a:lnTo>
                    <a:lnTo>
                      <a:pt x="44" y="411"/>
                    </a:lnTo>
                    <a:lnTo>
                      <a:pt x="44" y="411"/>
                    </a:lnTo>
                    <a:lnTo>
                      <a:pt x="44" y="402"/>
                    </a:lnTo>
                    <a:lnTo>
                      <a:pt x="44" y="402"/>
                    </a:lnTo>
                    <a:lnTo>
                      <a:pt x="44" y="393"/>
                    </a:lnTo>
                    <a:lnTo>
                      <a:pt x="44" y="393"/>
                    </a:lnTo>
                    <a:lnTo>
                      <a:pt x="53" y="384"/>
                    </a:lnTo>
                    <a:lnTo>
                      <a:pt x="53" y="384"/>
                    </a:lnTo>
                    <a:lnTo>
                      <a:pt x="53" y="384"/>
                    </a:lnTo>
                    <a:lnTo>
                      <a:pt x="62" y="384"/>
                    </a:lnTo>
                    <a:lnTo>
                      <a:pt x="62" y="384"/>
                    </a:lnTo>
                    <a:lnTo>
                      <a:pt x="62" y="384"/>
                    </a:lnTo>
                    <a:lnTo>
                      <a:pt x="62" y="384"/>
                    </a:lnTo>
                    <a:lnTo>
                      <a:pt x="71" y="384"/>
                    </a:lnTo>
                    <a:lnTo>
                      <a:pt x="71" y="384"/>
                    </a:lnTo>
                    <a:lnTo>
                      <a:pt x="71" y="375"/>
                    </a:lnTo>
                    <a:lnTo>
                      <a:pt x="80" y="375"/>
                    </a:lnTo>
                    <a:lnTo>
                      <a:pt x="80" y="375"/>
                    </a:lnTo>
                    <a:lnTo>
                      <a:pt x="80" y="375"/>
                    </a:lnTo>
                    <a:lnTo>
                      <a:pt x="80" y="375"/>
                    </a:lnTo>
                    <a:lnTo>
                      <a:pt x="89" y="375"/>
                    </a:lnTo>
                    <a:lnTo>
                      <a:pt x="89" y="366"/>
                    </a:lnTo>
                    <a:lnTo>
                      <a:pt x="89" y="366"/>
                    </a:lnTo>
                    <a:lnTo>
                      <a:pt x="89" y="366"/>
                    </a:lnTo>
                    <a:lnTo>
                      <a:pt x="98" y="366"/>
                    </a:lnTo>
                    <a:lnTo>
                      <a:pt x="98" y="358"/>
                    </a:lnTo>
                    <a:lnTo>
                      <a:pt x="98" y="358"/>
                    </a:lnTo>
                    <a:lnTo>
                      <a:pt x="98" y="349"/>
                    </a:lnTo>
                    <a:lnTo>
                      <a:pt x="98" y="349"/>
                    </a:lnTo>
                    <a:lnTo>
                      <a:pt x="107" y="349"/>
                    </a:lnTo>
                    <a:lnTo>
                      <a:pt x="107" y="340"/>
                    </a:lnTo>
                    <a:lnTo>
                      <a:pt x="107" y="340"/>
                    </a:lnTo>
                    <a:lnTo>
                      <a:pt x="107" y="331"/>
                    </a:lnTo>
                    <a:lnTo>
                      <a:pt x="98" y="331"/>
                    </a:lnTo>
                    <a:lnTo>
                      <a:pt x="98" y="322"/>
                    </a:lnTo>
                    <a:lnTo>
                      <a:pt x="98" y="322"/>
                    </a:lnTo>
                    <a:lnTo>
                      <a:pt x="98" y="322"/>
                    </a:lnTo>
                    <a:lnTo>
                      <a:pt x="98" y="313"/>
                    </a:lnTo>
                    <a:lnTo>
                      <a:pt x="89" y="313"/>
                    </a:lnTo>
                    <a:lnTo>
                      <a:pt x="89" y="313"/>
                    </a:lnTo>
                    <a:lnTo>
                      <a:pt x="89" y="304"/>
                    </a:lnTo>
                    <a:lnTo>
                      <a:pt x="89" y="304"/>
                    </a:lnTo>
                    <a:lnTo>
                      <a:pt x="89" y="304"/>
                    </a:lnTo>
                    <a:lnTo>
                      <a:pt x="89" y="295"/>
                    </a:lnTo>
                    <a:lnTo>
                      <a:pt x="89" y="295"/>
                    </a:lnTo>
                    <a:lnTo>
                      <a:pt x="89" y="295"/>
                    </a:lnTo>
                    <a:lnTo>
                      <a:pt x="89" y="295"/>
                    </a:lnTo>
                    <a:lnTo>
                      <a:pt x="89" y="295"/>
                    </a:lnTo>
                    <a:lnTo>
                      <a:pt x="80" y="295"/>
                    </a:lnTo>
                    <a:lnTo>
                      <a:pt x="80" y="304"/>
                    </a:lnTo>
                    <a:lnTo>
                      <a:pt x="80" y="304"/>
                    </a:lnTo>
                    <a:lnTo>
                      <a:pt x="80" y="304"/>
                    </a:lnTo>
                    <a:lnTo>
                      <a:pt x="80" y="313"/>
                    </a:lnTo>
                    <a:lnTo>
                      <a:pt x="71" y="313"/>
                    </a:lnTo>
                    <a:lnTo>
                      <a:pt x="71" y="313"/>
                    </a:lnTo>
                    <a:lnTo>
                      <a:pt x="71" y="304"/>
                    </a:lnTo>
                    <a:lnTo>
                      <a:pt x="71" y="304"/>
                    </a:lnTo>
                    <a:lnTo>
                      <a:pt x="71" y="295"/>
                    </a:lnTo>
                    <a:lnTo>
                      <a:pt x="80" y="295"/>
                    </a:lnTo>
                    <a:lnTo>
                      <a:pt x="80" y="286"/>
                    </a:lnTo>
                    <a:lnTo>
                      <a:pt x="80" y="286"/>
                    </a:lnTo>
                    <a:lnTo>
                      <a:pt x="80" y="277"/>
                    </a:lnTo>
                    <a:lnTo>
                      <a:pt x="89" y="277"/>
                    </a:lnTo>
                    <a:lnTo>
                      <a:pt x="89" y="277"/>
                    </a:lnTo>
                    <a:lnTo>
                      <a:pt x="89" y="268"/>
                    </a:lnTo>
                    <a:lnTo>
                      <a:pt x="98" y="268"/>
                    </a:lnTo>
                    <a:lnTo>
                      <a:pt x="98" y="268"/>
                    </a:lnTo>
                    <a:lnTo>
                      <a:pt x="98" y="259"/>
                    </a:lnTo>
                    <a:lnTo>
                      <a:pt x="98" y="259"/>
                    </a:lnTo>
                    <a:lnTo>
                      <a:pt x="107" y="259"/>
                    </a:lnTo>
                    <a:lnTo>
                      <a:pt x="107" y="250"/>
                    </a:lnTo>
                    <a:lnTo>
                      <a:pt x="107" y="250"/>
                    </a:lnTo>
                    <a:lnTo>
                      <a:pt x="107" y="250"/>
                    </a:lnTo>
                    <a:lnTo>
                      <a:pt x="107" y="250"/>
                    </a:lnTo>
                    <a:lnTo>
                      <a:pt x="107" y="241"/>
                    </a:lnTo>
                    <a:lnTo>
                      <a:pt x="107" y="241"/>
                    </a:lnTo>
                    <a:lnTo>
                      <a:pt x="107" y="241"/>
                    </a:lnTo>
                    <a:lnTo>
                      <a:pt x="107" y="241"/>
                    </a:lnTo>
                    <a:lnTo>
                      <a:pt x="116" y="233"/>
                    </a:lnTo>
                    <a:lnTo>
                      <a:pt x="116" y="233"/>
                    </a:lnTo>
                    <a:lnTo>
                      <a:pt x="116" y="233"/>
                    </a:lnTo>
                    <a:lnTo>
                      <a:pt x="116" y="233"/>
                    </a:lnTo>
                    <a:lnTo>
                      <a:pt x="125" y="224"/>
                    </a:lnTo>
                    <a:lnTo>
                      <a:pt x="125" y="224"/>
                    </a:lnTo>
                    <a:lnTo>
                      <a:pt x="134" y="224"/>
                    </a:lnTo>
                    <a:lnTo>
                      <a:pt x="134" y="224"/>
                    </a:lnTo>
                    <a:lnTo>
                      <a:pt x="134" y="215"/>
                    </a:lnTo>
                    <a:lnTo>
                      <a:pt x="143" y="215"/>
                    </a:lnTo>
                    <a:lnTo>
                      <a:pt x="143" y="215"/>
                    </a:lnTo>
                    <a:lnTo>
                      <a:pt x="152" y="215"/>
                    </a:lnTo>
                    <a:lnTo>
                      <a:pt x="152" y="206"/>
                    </a:lnTo>
                    <a:lnTo>
                      <a:pt x="152" y="206"/>
                    </a:lnTo>
                    <a:lnTo>
                      <a:pt x="161" y="206"/>
                    </a:lnTo>
                    <a:lnTo>
                      <a:pt x="161" y="206"/>
                    </a:lnTo>
                    <a:lnTo>
                      <a:pt x="169" y="206"/>
                    </a:lnTo>
                    <a:lnTo>
                      <a:pt x="169" y="206"/>
                    </a:lnTo>
                    <a:lnTo>
                      <a:pt x="169" y="197"/>
                    </a:lnTo>
                    <a:lnTo>
                      <a:pt x="178" y="197"/>
                    </a:lnTo>
                    <a:lnTo>
                      <a:pt x="178" y="197"/>
                    </a:lnTo>
                    <a:lnTo>
                      <a:pt x="178" y="197"/>
                    </a:lnTo>
                    <a:lnTo>
                      <a:pt x="178" y="197"/>
                    </a:lnTo>
                    <a:lnTo>
                      <a:pt x="187" y="197"/>
                    </a:lnTo>
                    <a:lnTo>
                      <a:pt x="187" y="188"/>
                    </a:lnTo>
                    <a:lnTo>
                      <a:pt x="187" y="188"/>
                    </a:lnTo>
                    <a:lnTo>
                      <a:pt x="187" y="188"/>
                    </a:lnTo>
                    <a:lnTo>
                      <a:pt x="187" y="188"/>
                    </a:lnTo>
                    <a:lnTo>
                      <a:pt x="187" y="188"/>
                    </a:lnTo>
                    <a:lnTo>
                      <a:pt x="187" y="188"/>
                    </a:lnTo>
                    <a:lnTo>
                      <a:pt x="187" y="179"/>
                    </a:lnTo>
                    <a:lnTo>
                      <a:pt x="187" y="179"/>
                    </a:lnTo>
                    <a:lnTo>
                      <a:pt x="187" y="179"/>
                    </a:lnTo>
                    <a:lnTo>
                      <a:pt x="187" y="179"/>
                    </a:lnTo>
                    <a:lnTo>
                      <a:pt x="187" y="179"/>
                    </a:lnTo>
                    <a:lnTo>
                      <a:pt x="196" y="179"/>
                    </a:lnTo>
                    <a:lnTo>
                      <a:pt x="196" y="170"/>
                    </a:lnTo>
                    <a:lnTo>
                      <a:pt x="196" y="170"/>
                    </a:lnTo>
                    <a:lnTo>
                      <a:pt x="196" y="170"/>
                    </a:lnTo>
                    <a:lnTo>
                      <a:pt x="196" y="170"/>
                    </a:lnTo>
                    <a:lnTo>
                      <a:pt x="196" y="170"/>
                    </a:lnTo>
                    <a:lnTo>
                      <a:pt x="205" y="170"/>
                    </a:lnTo>
                    <a:lnTo>
                      <a:pt x="205" y="161"/>
                    </a:lnTo>
                    <a:lnTo>
                      <a:pt x="205" y="161"/>
                    </a:lnTo>
                    <a:lnTo>
                      <a:pt x="205" y="161"/>
                    </a:lnTo>
                    <a:lnTo>
                      <a:pt x="205" y="161"/>
                    </a:lnTo>
                    <a:lnTo>
                      <a:pt x="205" y="161"/>
                    </a:lnTo>
                    <a:lnTo>
                      <a:pt x="214" y="152"/>
                    </a:lnTo>
                    <a:lnTo>
                      <a:pt x="214" y="152"/>
                    </a:lnTo>
                    <a:lnTo>
                      <a:pt x="214" y="152"/>
                    </a:lnTo>
                    <a:lnTo>
                      <a:pt x="214" y="152"/>
                    </a:lnTo>
                    <a:lnTo>
                      <a:pt x="223" y="143"/>
                    </a:lnTo>
                    <a:lnTo>
                      <a:pt x="223" y="143"/>
                    </a:lnTo>
                    <a:lnTo>
                      <a:pt x="223" y="143"/>
                    </a:lnTo>
                    <a:lnTo>
                      <a:pt x="232" y="143"/>
                    </a:lnTo>
                    <a:lnTo>
                      <a:pt x="232" y="143"/>
                    </a:lnTo>
                    <a:lnTo>
                      <a:pt x="232" y="134"/>
                    </a:lnTo>
                    <a:lnTo>
                      <a:pt x="241" y="134"/>
                    </a:lnTo>
                    <a:lnTo>
                      <a:pt x="241" y="134"/>
                    </a:lnTo>
                    <a:lnTo>
                      <a:pt x="241" y="134"/>
                    </a:lnTo>
                    <a:lnTo>
                      <a:pt x="250" y="134"/>
                    </a:lnTo>
                    <a:lnTo>
                      <a:pt x="250" y="125"/>
                    </a:lnTo>
                    <a:lnTo>
                      <a:pt x="250" y="125"/>
                    </a:lnTo>
                    <a:lnTo>
                      <a:pt x="259" y="125"/>
                    </a:lnTo>
                    <a:lnTo>
                      <a:pt x="259" y="125"/>
                    </a:lnTo>
                    <a:lnTo>
                      <a:pt x="268" y="125"/>
                    </a:lnTo>
                    <a:lnTo>
                      <a:pt x="268" y="125"/>
                    </a:lnTo>
                    <a:lnTo>
                      <a:pt x="277" y="116"/>
                    </a:lnTo>
                    <a:lnTo>
                      <a:pt x="286" y="116"/>
                    </a:lnTo>
                    <a:lnTo>
                      <a:pt x="286" y="116"/>
                    </a:lnTo>
                    <a:lnTo>
                      <a:pt x="294" y="116"/>
                    </a:lnTo>
                    <a:lnTo>
                      <a:pt x="294" y="116"/>
                    </a:lnTo>
                    <a:lnTo>
                      <a:pt x="303" y="116"/>
                    </a:lnTo>
                    <a:lnTo>
                      <a:pt x="303" y="116"/>
                    </a:lnTo>
                    <a:lnTo>
                      <a:pt x="312" y="116"/>
                    </a:lnTo>
                    <a:lnTo>
                      <a:pt x="312" y="116"/>
                    </a:lnTo>
                    <a:lnTo>
                      <a:pt x="321" y="116"/>
                    </a:lnTo>
                    <a:lnTo>
                      <a:pt x="321" y="116"/>
                    </a:lnTo>
                    <a:lnTo>
                      <a:pt x="321" y="116"/>
                    </a:lnTo>
                    <a:lnTo>
                      <a:pt x="330" y="116"/>
                    </a:lnTo>
                    <a:lnTo>
                      <a:pt x="330" y="116"/>
                    </a:lnTo>
                    <a:lnTo>
                      <a:pt x="339" y="108"/>
                    </a:lnTo>
                    <a:lnTo>
                      <a:pt x="339" y="108"/>
                    </a:lnTo>
                    <a:lnTo>
                      <a:pt x="339" y="108"/>
                    </a:lnTo>
                    <a:lnTo>
                      <a:pt x="348" y="108"/>
                    </a:lnTo>
                    <a:lnTo>
                      <a:pt x="348" y="99"/>
                    </a:lnTo>
                    <a:lnTo>
                      <a:pt x="357" y="99"/>
                    </a:lnTo>
                    <a:lnTo>
                      <a:pt x="357" y="99"/>
                    </a:lnTo>
                    <a:lnTo>
                      <a:pt x="366" y="99"/>
                    </a:lnTo>
                    <a:lnTo>
                      <a:pt x="366" y="90"/>
                    </a:lnTo>
                    <a:lnTo>
                      <a:pt x="366" y="90"/>
                    </a:lnTo>
                    <a:lnTo>
                      <a:pt x="375" y="90"/>
                    </a:lnTo>
                    <a:lnTo>
                      <a:pt x="375" y="90"/>
                    </a:lnTo>
                    <a:lnTo>
                      <a:pt x="384" y="81"/>
                    </a:lnTo>
                    <a:lnTo>
                      <a:pt x="384" y="81"/>
                    </a:lnTo>
                    <a:lnTo>
                      <a:pt x="384" y="81"/>
                    </a:lnTo>
                    <a:lnTo>
                      <a:pt x="393" y="81"/>
                    </a:lnTo>
                    <a:lnTo>
                      <a:pt x="393" y="72"/>
                    </a:lnTo>
                    <a:lnTo>
                      <a:pt x="393" y="72"/>
                    </a:lnTo>
                    <a:lnTo>
                      <a:pt x="393" y="63"/>
                    </a:lnTo>
                    <a:lnTo>
                      <a:pt x="393" y="63"/>
                    </a:lnTo>
                    <a:lnTo>
                      <a:pt x="402" y="54"/>
                    </a:lnTo>
                    <a:lnTo>
                      <a:pt x="402" y="54"/>
                    </a:lnTo>
                    <a:lnTo>
                      <a:pt x="402" y="54"/>
                    </a:lnTo>
                    <a:lnTo>
                      <a:pt x="402" y="45"/>
                    </a:lnTo>
                    <a:lnTo>
                      <a:pt x="402" y="45"/>
                    </a:lnTo>
                    <a:lnTo>
                      <a:pt x="411" y="45"/>
                    </a:lnTo>
                    <a:lnTo>
                      <a:pt x="411" y="45"/>
                    </a:lnTo>
                    <a:lnTo>
                      <a:pt x="411" y="45"/>
                    </a:lnTo>
                    <a:lnTo>
                      <a:pt x="411" y="45"/>
                    </a:lnTo>
                    <a:lnTo>
                      <a:pt x="411" y="36"/>
                    </a:lnTo>
                    <a:lnTo>
                      <a:pt x="411" y="36"/>
                    </a:lnTo>
                    <a:lnTo>
                      <a:pt x="420" y="36"/>
                    </a:lnTo>
                    <a:lnTo>
                      <a:pt x="420" y="36"/>
                    </a:lnTo>
                    <a:lnTo>
                      <a:pt x="420" y="36"/>
                    </a:lnTo>
                    <a:lnTo>
                      <a:pt x="420" y="27"/>
                    </a:lnTo>
                    <a:lnTo>
                      <a:pt x="420" y="27"/>
                    </a:lnTo>
                    <a:lnTo>
                      <a:pt x="420" y="27"/>
                    </a:lnTo>
                    <a:lnTo>
                      <a:pt x="420" y="18"/>
                    </a:lnTo>
                    <a:lnTo>
                      <a:pt x="420" y="18"/>
                    </a:lnTo>
                    <a:lnTo>
                      <a:pt x="420" y="18"/>
                    </a:lnTo>
                    <a:lnTo>
                      <a:pt x="428" y="18"/>
                    </a:lnTo>
                    <a:lnTo>
                      <a:pt x="428" y="18"/>
                    </a:lnTo>
                    <a:lnTo>
                      <a:pt x="428" y="18"/>
                    </a:lnTo>
                    <a:lnTo>
                      <a:pt x="437" y="18"/>
                    </a:lnTo>
                    <a:lnTo>
                      <a:pt x="437" y="18"/>
                    </a:lnTo>
                    <a:lnTo>
                      <a:pt x="437" y="18"/>
                    </a:lnTo>
                    <a:lnTo>
                      <a:pt x="437" y="18"/>
                    </a:lnTo>
                    <a:lnTo>
                      <a:pt x="446" y="9"/>
                    </a:lnTo>
                    <a:lnTo>
                      <a:pt x="446" y="9"/>
                    </a:lnTo>
                    <a:lnTo>
                      <a:pt x="446" y="9"/>
                    </a:lnTo>
                    <a:lnTo>
                      <a:pt x="455" y="9"/>
                    </a:lnTo>
                    <a:lnTo>
                      <a:pt x="455" y="9"/>
                    </a:lnTo>
                    <a:lnTo>
                      <a:pt x="455" y="9"/>
                    </a:lnTo>
                    <a:lnTo>
                      <a:pt x="455" y="0"/>
                    </a:lnTo>
                    <a:lnTo>
                      <a:pt x="464" y="0"/>
                    </a:lnTo>
                    <a:lnTo>
                      <a:pt x="464" y="0"/>
                    </a:lnTo>
                    <a:lnTo>
                      <a:pt x="464" y="0"/>
                    </a:lnTo>
                    <a:lnTo>
                      <a:pt x="464" y="0"/>
                    </a:lnTo>
                    <a:lnTo>
                      <a:pt x="464" y="0"/>
                    </a:lnTo>
                    <a:lnTo>
                      <a:pt x="464" y="0"/>
                    </a:lnTo>
                    <a:lnTo>
                      <a:pt x="464" y="0"/>
                    </a:lnTo>
                    <a:lnTo>
                      <a:pt x="464" y="0"/>
                    </a:lnTo>
                    <a:lnTo>
                      <a:pt x="473" y="0"/>
                    </a:lnTo>
                    <a:lnTo>
                      <a:pt x="473" y="0"/>
                    </a:lnTo>
                    <a:lnTo>
                      <a:pt x="482" y="9"/>
                    </a:lnTo>
                    <a:lnTo>
                      <a:pt x="491" y="36"/>
                    </a:lnTo>
                    <a:lnTo>
                      <a:pt x="518" y="45"/>
                    </a:lnTo>
                    <a:lnTo>
                      <a:pt x="518" y="63"/>
                    </a:lnTo>
                    <a:lnTo>
                      <a:pt x="536" y="90"/>
                    </a:lnTo>
                    <a:lnTo>
                      <a:pt x="554" y="99"/>
                    </a:lnTo>
                    <a:lnTo>
                      <a:pt x="554" y="116"/>
                    </a:lnTo>
                    <a:lnTo>
                      <a:pt x="554" y="134"/>
                    </a:lnTo>
                    <a:lnTo>
                      <a:pt x="545" y="161"/>
                    </a:lnTo>
                    <a:lnTo>
                      <a:pt x="545" y="188"/>
                    </a:lnTo>
                    <a:lnTo>
                      <a:pt x="562" y="188"/>
                    </a:lnTo>
                    <a:lnTo>
                      <a:pt x="589" y="197"/>
                    </a:lnTo>
                    <a:lnTo>
                      <a:pt x="607" y="206"/>
                    </a:lnTo>
                    <a:lnTo>
                      <a:pt x="634" y="206"/>
                    </a:lnTo>
                    <a:lnTo>
                      <a:pt x="625" y="250"/>
                    </a:lnTo>
                    <a:lnTo>
                      <a:pt x="634" y="259"/>
                    </a:lnTo>
                    <a:lnTo>
                      <a:pt x="652" y="268"/>
                    </a:lnTo>
                    <a:lnTo>
                      <a:pt x="652" y="286"/>
                    </a:lnTo>
                    <a:lnTo>
                      <a:pt x="643" y="286"/>
                    </a:lnTo>
                    <a:lnTo>
                      <a:pt x="616" y="286"/>
                    </a:lnTo>
                    <a:lnTo>
                      <a:pt x="598" y="286"/>
                    </a:lnTo>
                    <a:lnTo>
                      <a:pt x="589" y="295"/>
                    </a:lnTo>
                    <a:lnTo>
                      <a:pt x="571" y="304"/>
                    </a:lnTo>
                    <a:lnTo>
                      <a:pt x="571" y="331"/>
                    </a:lnTo>
                    <a:lnTo>
                      <a:pt x="580" y="358"/>
                    </a:lnTo>
                    <a:lnTo>
                      <a:pt x="580" y="366"/>
                    </a:lnTo>
                    <a:lnTo>
                      <a:pt x="571" y="375"/>
                    </a:lnTo>
                    <a:lnTo>
                      <a:pt x="562" y="384"/>
                    </a:lnTo>
                    <a:lnTo>
                      <a:pt x="536" y="384"/>
                    </a:lnTo>
                    <a:lnTo>
                      <a:pt x="527" y="393"/>
                    </a:lnTo>
                    <a:lnTo>
                      <a:pt x="527" y="411"/>
                    </a:lnTo>
                    <a:lnTo>
                      <a:pt x="545" y="429"/>
                    </a:lnTo>
                    <a:lnTo>
                      <a:pt x="562" y="438"/>
                    </a:lnTo>
                    <a:lnTo>
                      <a:pt x="580" y="447"/>
                    </a:lnTo>
                    <a:lnTo>
                      <a:pt x="607" y="447"/>
                    </a:lnTo>
                    <a:lnTo>
                      <a:pt x="616" y="465"/>
                    </a:lnTo>
                    <a:lnTo>
                      <a:pt x="625" y="474"/>
                    </a:lnTo>
                    <a:lnTo>
                      <a:pt x="607" y="500"/>
                    </a:lnTo>
                    <a:lnTo>
                      <a:pt x="607" y="527"/>
                    </a:lnTo>
                    <a:lnTo>
                      <a:pt x="607" y="554"/>
                    </a:lnTo>
                    <a:lnTo>
                      <a:pt x="607" y="563"/>
                    </a:lnTo>
                    <a:lnTo>
                      <a:pt x="625" y="563"/>
                    </a:lnTo>
                    <a:lnTo>
                      <a:pt x="625" y="590"/>
                    </a:lnTo>
                    <a:lnTo>
                      <a:pt x="634" y="608"/>
                    </a:lnTo>
                    <a:lnTo>
                      <a:pt x="625" y="617"/>
                    </a:lnTo>
                    <a:lnTo>
                      <a:pt x="607" y="634"/>
                    </a:lnTo>
                    <a:lnTo>
                      <a:pt x="580" y="634"/>
                    </a:lnTo>
                    <a:lnTo>
                      <a:pt x="571" y="634"/>
                    </a:lnTo>
                    <a:lnTo>
                      <a:pt x="554" y="643"/>
                    </a:lnTo>
                    <a:lnTo>
                      <a:pt x="536" y="643"/>
                    </a:lnTo>
                    <a:lnTo>
                      <a:pt x="518" y="643"/>
                    </a:lnTo>
                    <a:lnTo>
                      <a:pt x="500" y="652"/>
                    </a:lnTo>
                    <a:lnTo>
                      <a:pt x="491" y="670"/>
                    </a:lnTo>
                    <a:lnTo>
                      <a:pt x="473" y="652"/>
                    </a:lnTo>
                    <a:lnTo>
                      <a:pt x="446" y="652"/>
                    </a:lnTo>
                    <a:lnTo>
                      <a:pt x="420" y="652"/>
                    </a:lnTo>
                    <a:lnTo>
                      <a:pt x="402" y="652"/>
                    </a:lnTo>
                    <a:lnTo>
                      <a:pt x="402" y="634"/>
                    </a:lnTo>
                    <a:lnTo>
                      <a:pt x="384" y="643"/>
                    </a:lnTo>
                    <a:lnTo>
                      <a:pt x="366" y="652"/>
                    </a:lnTo>
                    <a:lnTo>
                      <a:pt x="339" y="652"/>
                    </a:lnTo>
                    <a:lnTo>
                      <a:pt x="303" y="652"/>
                    </a:lnTo>
                    <a:lnTo>
                      <a:pt x="277" y="652"/>
                    </a:lnTo>
                    <a:lnTo>
                      <a:pt x="268" y="661"/>
                    </a:lnTo>
                    <a:lnTo>
                      <a:pt x="268" y="670"/>
                    </a:lnTo>
                    <a:lnTo>
                      <a:pt x="250" y="670"/>
                    </a:lnTo>
                    <a:lnTo>
                      <a:pt x="232" y="670"/>
                    </a:lnTo>
                    <a:lnTo>
                      <a:pt x="214" y="670"/>
                    </a:lnTo>
                    <a:lnTo>
                      <a:pt x="214" y="688"/>
                    </a:lnTo>
                    <a:lnTo>
                      <a:pt x="196" y="697"/>
                    </a:lnTo>
                    <a:lnTo>
                      <a:pt x="178" y="697"/>
                    </a:lnTo>
                    <a:lnTo>
                      <a:pt x="161" y="697"/>
                    </a:lnTo>
                    <a:lnTo>
                      <a:pt x="161" y="679"/>
                    </a:lnTo>
                    <a:lnTo>
                      <a:pt x="161" y="670"/>
                    </a:lnTo>
                    <a:lnTo>
                      <a:pt x="152" y="688"/>
                    </a:lnTo>
                    <a:lnTo>
                      <a:pt x="143" y="679"/>
                    </a:lnTo>
                    <a:lnTo>
                      <a:pt x="125" y="688"/>
                    </a:lnTo>
                    <a:lnTo>
                      <a:pt x="116" y="697"/>
                    </a:lnTo>
                    <a:lnTo>
                      <a:pt x="107" y="706"/>
                    </a:lnTo>
                    <a:lnTo>
                      <a:pt x="98" y="706"/>
                    </a:lnTo>
                    <a:lnTo>
                      <a:pt x="89" y="697"/>
                    </a:lnTo>
                    <a:lnTo>
                      <a:pt x="80" y="688"/>
                    </a:lnTo>
                    <a:lnTo>
                      <a:pt x="53" y="688"/>
                    </a:lnTo>
                    <a:lnTo>
                      <a:pt x="27" y="688"/>
                    </a:lnTo>
                    <a:lnTo>
                      <a:pt x="9" y="688"/>
                    </a:lnTo>
                    <a:lnTo>
                      <a:pt x="0" y="679"/>
                    </a:lnTo>
                    <a:close/>
                  </a:path>
                </a:pathLst>
              </a:custGeom>
              <a:solidFill>
                <a:schemeClr val="accent6">
                  <a:lumMod val="75000"/>
                </a:schemeClr>
              </a:solidFill>
              <a:ln w="21590" cmpd="sng">
                <a:solidFill>
                  <a:srgbClr val="FFFFFF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34" name="Freeform 57">
                <a:extLst>
                  <a:ext uri="{FF2B5EF4-FFF2-40B4-BE49-F238E27FC236}">
                    <a16:creationId xmlns:a16="http://schemas.microsoft.com/office/drawing/2014/main" id="{00000000-0008-0000-0C00-000022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326" y="5988"/>
                <a:ext cx="1644" cy="1525"/>
              </a:xfrm>
              <a:custGeom>
                <a:avLst/>
                <a:gdLst>
                  <a:gd name="T0" fmla="*/ 607 w 741"/>
                  <a:gd name="T1" fmla="*/ 331 h 643"/>
                  <a:gd name="T2" fmla="*/ 598 w 741"/>
                  <a:gd name="T3" fmla="*/ 331 h 643"/>
                  <a:gd name="T4" fmla="*/ 580 w 741"/>
                  <a:gd name="T5" fmla="*/ 331 h 643"/>
                  <a:gd name="T6" fmla="*/ 562 w 741"/>
                  <a:gd name="T7" fmla="*/ 331 h 643"/>
                  <a:gd name="T8" fmla="*/ 562 w 741"/>
                  <a:gd name="T9" fmla="*/ 313 h 643"/>
                  <a:gd name="T10" fmla="*/ 554 w 741"/>
                  <a:gd name="T11" fmla="*/ 304 h 643"/>
                  <a:gd name="T12" fmla="*/ 562 w 741"/>
                  <a:gd name="T13" fmla="*/ 286 h 643"/>
                  <a:gd name="T14" fmla="*/ 571 w 741"/>
                  <a:gd name="T15" fmla="*/ 277 h 643"/>
                  <a:gd name="T16" fmla="*/ 580 w 741"/>
                  <a:gd name="T17" fmla="*/ 277 h 643"/>
                  <a:gd name="T18" fmla="*/ 589 w 741"/>
                  <a:gd name="T19" fmla="*/ 268 h 643"/>
                  <a:gd name="T20" fmla="*/ 589 w 741"/>
                  <a:gd name="T21" fmla="*/ 241 h 643"/>
                  <a:gd name="T22" fmla="*/ 580 w 741"/>
                  <a:gd name="T23" fmla="*/ 214 h 643"/>
                  <a:gd name="T24" fmla="*/ 571 w 741"/>
                  <a:gd name="T25" fmla="*/ 197 h 643"/>
                  <a:gd name="T26" fmla="*/ 562 w 741"/>
                  <a:gd name="T27" fmla="*/ 188 h 643"/>
                  <a:gd name="T28" fmla="*/ 554 w 741"/>
                  <a:gd name="T29" fmla="*/ 179 h 643"/>
                  <a:gd name="T30" fmla="*/ 536 w 741"/>
                  <a:gd name="T31" fmla="*/ 179 h 643"/>
                  <a:gd name="T32" fmla="*/ 536 w 741"/>
                  <a:gd name="T33" fmla="*/ 170 h 643"/>
                  <a:gd name="T34" fmla="*/ 545 w 741"/>
                  <a:gd name="T35" fmla="*/ 152 h 643"/>
                  <a:gd name="T36" fmla="*/ 536 w 741"/>
                  <a:gd name="T37" fmla="*/ 143 h 643"/>
                  <a:gd name="T38" fmla="*/ 527 w 741"/>
                  <a:gd name="T39" fmla="*/ 152 h 643"/>
                  <a:gd name="T40" fmla="*/ 509 w 741"/>
                  <a:gd name="T41" fmla="*/ 143 h 643"/>
                  <a:gd name="T42" fmla="*/ 500 w 741"/>
                  <a:gd name="T43" fmla="*/ 143 h 643"/>
                  <a:gd name="T44" fmla="*/ 482 w 741"/>
                  <a:gd name="T45" fmla="*/ 134 h 643"/>
                  <a:gd name="T46" fmla="*/ 482 w 741"/>
                  <a:gd name="T47" fmla="*/ 143 h 643"/>
                  <a:gd name="T48" fmla="*/ 464 w 741"/>
                  <a:gd name="T49" fmla="*/ 143 h 643"/>
                  <a:gd name="T50" fmla="*/ 446 w 741"/>
                  <a:gd name="T51" fmla="*/ 143 h 643"/>
                  <a:gd name="T52" fmla="*/ 437 w 741"/>
                  <a:gd name="T53" fmla="*/ 125 h 643"/>
                  <a:gd name="T54" fmla="*/ 437 w 741"/>
                  <a:gd name="T55" fmla="*/ 107 h 643"/>
                  <a:gd name="T56" fmla="*/ 428 w 741"/>
                  <a:gd name="T57" fmla="*/ 72 h 643"/>
                  <a:gd name="T58" fmla="*/ 428 w 741"/>
                  <a:gd name="T59" fmla="*/ 36 h 643"/>
                  <a:gd name="T60" fmla="*/ 437 w 741"/>
                  <a:gd name="T61" fmla="*/ 9 h 643"/>
                  <a:gd name="T62" fmla="*/ 446 w 741"/>
                  <a:gd name="T63" fmla="*/ 9 h 643"/>
                  <a:gd name="T64" fmla="*/ 428 w 741"/>
                  <a:gd name="T65" fmla="*/ 0 h 643"/>
                  <a:gd name="T66" fmla="*/ 384 w 741"/>
                  <a:gd name="T67" fmla="*/ 0 h 643"/>
                  <a:gd name="T68" fmla="*/ 339 w 741"/>
                  <a:gd name="T69" fmla="*/ 27 h 643"/>
                  <a:gd name="T70" fmla="*/ 348 w 741"/>
                  <a:gd name="T71" fmla="*/ 125 h 643"/>
                  <a:gd name="T72" fmla="*/ 232 w 741"/>
                  <a:gd name="T73" fmla="*/ 143 h 643"/>
                  <a:gd name="T74" fmla="*/ 214 w 741"/>
                  <a:gd name="T75" fmla="*/ 125 h 643"/>
                  <a:gd name="T76" fmla="*/ 205 w 741"/>
                  <a:gd name="T77" fmla="*/ 116 h 643"/>
                  <a:gd name="T78" fmla="*/ 205 w 741"/>
                  <a:gd name="T79" fmla="*/ 63 h 643"/>
                  <a:gd name="T80" fmla="*/ 169 w 741"/>
                  <a:gd name="T81" fmla="*/ 89 h 643"/>
                  <a:gd name="T82" fmla="*/ 107 w 741"/>
                  <a:gd name="T83" fmla="*/ 179 h 643"/>
                  <a:gd name="T84" fmla="*/ 89 w 741"/>
                  <a:gd name="T85" fmla="*/ 259 h 643"/>
                  <a:gd name="T86" fmla="*/ 53 w 741"/>
                  <a:gd name="T87" fmla="*/ 339 h 643"/>
                  <a:gd name="T88" fmla="*/ 18 w 741"/>
                  <a:gd name="T89" fmla="*/ 402 h 643"/>
                  <a:gd name="T90" fmla="*/ 80 w 741"/>
                  <a:gd name="T91" fmla="*/ 473 h 643"/>
                  <a:gd name="T92" fmla="*/ 107 w 741"/>
                  <a:gd name="T93" fmla="*/ 581 h 643"/>
                  <a:gd name="T94" fmla="*/ 268 w 741"/>
                  <a:gd name="T95" fmla="*/ 616 h 643"/>
                  <a:gd name="T96" fmla="*/ 375 w 741"/>
                  <a:gd name="T97" fmla="*/ 643 h 643"/>
                  <a:gd name="T98" fmla="*/ 437 w 741"/>
                  <a:gd name="T99" fmla="*/ 590 h 643"/>
                  <a:gd name="T100" fmla="*/ 509 w 741"/>
                  <a:gd name="T101" fmla="*/ 563 h 643"/>
                  <a:gd name="T102" fmla="*/ 545 w 741"/>
                  <a:gd name="T103" fmla="*/ 438 h 643"/>
                  <a:gd name="T104" fmla="*/ 634 w 741"/>
                  <a:gd name="T105" fmla="*/ 464 h 643"/>
                  <a:gd name="T106" fmla="*/ 679 w 741"/>
                  <a:gd name="T107" fmla="*/ 447 h 643"/>
                  <a:gd name="T108" fmla="*/ 741 w 741"/>
                  <a:gd name="T109" fmla="*/ 393 h 643"/>
                  <a:gd name="T110" fmla="*/ 652 w 741"/>
                  <a:gd name="T111" fmla="*/ 322 h 64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</a:cxnLst>
                <a:rect l="0" t="0" r="r" b="b"/>
                <a:pathLst>
                  <a:path w="741" h="643">
                    <a:moveTo>
                      <a:pt x="607" y="322"/>
                    </a:moveTo>
                    <a:lnTo>
                      <a:pt x="607" y="322"/>
                    </a:lnTo>
                    <a:lnTo>
                      <a:pt x="607" y="322"/>
                    </a:lnTo>
                    <a:lnTo>
                      <a:pt x="607" y="331"/>
                    </a:lnTo>
                    <a:lnTo>
                      <a:pt x="607" y="331"/>
                    </a:lnTo>
                    <a:lnTo>
                      <a:pt x="607" y="331"/>
                    </a:lnTo>
                    <a:lnTo>
                      <a:pt x="607" y="331"/>
                    </a:lnTo>
                    <a:lnTo>
                      <a:pt x="607" y="331"/>
                    </a:lnTo>
                    <a:lnTo>
                      <a:pt x="607" y="331"/>
                    </a:lnTo>
                    <a:lnTo>
                      <a:pt x="598" y="331"/>
                    </a:lnTo>
                    <a:lnTo>
                      <a:pt x="598" y="331"/>
                    </a:lnTo>
                    <a:lnTo>
                      <a:pt x="598" y="331"/>
                    </a:lnTo>
                    <a:lnTo>
                      <a:pt x="589" y="331"/>
                    </a:lnTo>
                    <a:lnTo>
                      <a:pt x="589" y="331"/>
                    </a:lnTo>
                    <a:lnTo>
                      <a:pt x="589" y="331"/>
                    </a:lnTo>
                    <a:lnTo>
                      <a:pt x="580" y="331"/>
                    </a:lnTo>
                    <a:lnTo>
                      <a:pt x="580" y="331"/>
                    </a:lnTo>
                    <a:lnTo>
                      <a:pt x="580" y="331"/>
                    </a:lnTo>
                    <a:lnTo>
                      <a:pt x="571" y="331"/>
                    </a:lnTo>
                    <a:lnTo>
                      <a:pt x="571" y="331"/>
                    </a:lnTo>
                    <a:lnTo>
                      <a:pt x="571" y="331"/>
                    </a:lnTo>
                    <a:lnTo>
                      <a:pt x="571" y="331"/>
                    </a:lnTo>
                    <a:lnTo>
                      <a:pt x="562" y="331"/>
                    </a:lnTo>
                    <a:lnTo>
                      <a:pt x="562" y="331"/>
                    </a:lnTo>
                    <a:lnTo>
                      <a:pt x="562" y="331"/>
                    </a:lnTo>
                    <a:lnTo>
                      <a:pt x="562" y="331"/>
                    </a:lnTo>
                    <a:lnTo>
                      <a:pt x="562" y="322"/>
                    </a:lnTo>
                    <a:lnTo>
                      <a:pt x="562" y="322"/>
                    </a:lnTo>
                    <a:lnTo>
                      <a:pt x="562" y="322"/>
                    </a:lnTo>
                    <a:lnTo>
                      <a:pt x="562" y="313"/>
                    </a:lnTo>
                    <a:lnTo>
                      <a:pt x="554" y="313"/>
                    </a:lnTo>
                    <a:lnTo>
                      <a:pt x="554" y="313"/>
                    </a:lnTo>
                    <a:lnTo>
                      <a:pt x="554" y="313"/>
                    </a:lnTo>
                    <a:lnTo>
                      <a:pt x="554" y="304"/>
                    </a:lnTo>
                    <a:lnTo>
                      <a:pt x="554" y="304"/>
                    </a:lnTo>
                    <a:lnTo>
                      <a:pt x="554" y="304"/>
                    </a:lnTo>
                    <a:lnTo>
                      <a:pt x="554" y="295"/>
                    </a:lnTo>
                    <a:lnTo>
                      <a:pt x="562" y="295"/>
                    </a:lnTo>
                    <a:lnTo>
                      <a:pt x="562" y="295"/>
                    </a:lnTo>
                    <a:lnTo>
                      <a:pt x="562" y="286"/>
                    </a:lnTo>
                    <a:lnTo>
                      <a:pt x="562" y="286"/>
                    </a:lnTo>
                    <a:lnTo>
                      <a:pt x="562" y="286"/>
                    </a:lnTo>
                    <a:lnTo>
                      <a:pt x="562" y="286"/>
                    </a:lnTo>
                    <a:lnTo>
                      <a:pt x="562" y="286"/>
                    </a:lnTo>
                    <a:lnTo>
                      <a:pt x="571" y="286"/>
                    </a:lnTo>
                    <a:lnTo>
                      <a:pt x="571" y="286"/>
                    </a:lnTo>
                    <a:lnTo>
                      <a:pt x="571" y="277"/>
                    </a:lnTo>
                    <a:lnTo>
                      <a:pt x="571" y="277"/>
                    </a:lnTo>
                    <a:lnTo>
                      <a:pt x="571" y="277"/>
                    </a:lnTo>
                    <a:lnTo>
                      <a:pt x="580" y="277"/>
                    </a:lnTo>
                    <a:lnTo>
                      <a:pt x="580" y="277"/>
                    </a:lnTo>
                    <a:lnTo>
                      <a:pt x="580" y="277"/>
                    </a:lnTo>
                    <a:lnTo>
                      <a:pt x="580" y="277"/>
                    </a:lnTo>
                    <a:lnTo>
                      <a:pt x="580" y="277"/>
                    </a:lnTo>
                    <a:lnTo>
                      <a:pt x="580" y="277"/>
                    </a:lnTo>
                    <a:lnTo>
                      <a:pt x="589" y="277"/>
                    </a:lnTo>
                    <a:lnTo>
                      <a:pt x="589" y="277"/>
                    </a:lnTo>
                    <a:lnTo>
                      <a:pt x="589" y="277"/>
                    </a:lnTo>
                    <a:lnTo>
                      <a:pt x="589" y="268"/>
                    </a:lnTo>
                    <a:lnTo>
                      <a:pt x="589" y="268"/>
                    </a:lnTo>
                    <a:lnTo>
                      <a:pt x="589" y="259"/>
                    </a:lnTo>
                    <a:lnTo>
                      <a:pt x="589" y="259"/>
                    </a:lnTo>
                    <a:lnTo>
                      <a:pt x="589" y="250"/>
                    </a:lnTo>
                    <a:lnTo>
                      <a:pt x="589" y="250"/>
                    </a:lnTo>
                    <a:lnTo>
                      <a:pt x="589" y="241"/>
                    </a:lnTo>
                    <a:lnTo>
                      <a:pt x="589" y="241"/>
                    </a:lnTo>
                    <a:lnTo>
                      <a:pt x="589" y="241"/>
                    </a:lnTo>
                    <a:lnTo>
                      <a:pt x="589" y="232"/>
                    </a:lnTo>
                    <a:lnTo>
                      <a:pt x="580" y="232"/>
                    </a:lnTo>
                    <a:lnTo>
                      <a:pt x="580" y="223"/>
                    </a:lnTo>
                    <a:lnTo>
                      <a:pt x="580" y="223"/>
                    </a:lnTo>
                    <a:lnTo>
                      <a:pt x="580" y="214"/>
                    </a:lnTo>
                    <a:lnTo>
                      <a:pt x="580" y="214"/>
                    </a:lnTo>
                    <a:lnTo>
                      <a:pt x="580" y="206"/>
                    </a:lnTo>
                    <a:lnTo>
                      <a:pt x="580" y="206"/>
                    </a:lnTo>
                    <a:lnTo>
                      <a:pt x="580" y="206"/>
                    </a:lnTo>
                    <a:lnTo>
                      <a:pt x="571" y="197"/>
                    </a:lnTo>
                    <a:lnTo>
                      <a:pt x="571" y="197"/>
                    </a:lnTo>
                    <a:lnTo>
                      <a:pt x="571" y="197"/>
                    </a:lnTo>
                    <a:lnTo>
                      <a:pt x="571" y="188"/>
                    </a:lnTo>
                    <a:lnTo>
                      <a:pt x="571" y="188"/>
                    </a:lnTo>
                    <a:lnTo>
                      <a:pt x="562" y="188"/>
                    </a:lnTo>
                    <a:lnTo>
                      <a:pt x="562" y="188"/>
                    </a:lnTo>
                    <a:lnTo>
                      <a:pt x="562" y="188"/>
                    </a:lnTo>
                    <a:lnTo>
                      <a:pt x="562" y="188"/>
                    </a:lnTo>
                    <a:lnTo>
                      <a:pt x="562" y="188"/>
                    </a:lnTo>
                    <a:lnTo>
                      <a:pt x="554" y="188"/>
                    </a:lnTo>
                    <a:lnTo>
                      <a:pt x="554" y="188"/>
                    </a:lnTo>
                    <a:lnTo>
                      <a:pt x="554" y="179"/>
                    </a:lnTo>
                    <a:lnTo>
                      <a:pt x="554" y="179"/>
                    </a:lnTo>
                    <a:lnTo>
                      <a:pt x="545" y="179"/>
                    </a:lnTo>
                    <a:lnTo>
                      <a:pt x="545" y="179"/>
                    </a:lnTo>
                    <a:lnTo>
                      <a:pt x="545" y="179"/>
                    </a:lnTo>
                    <a:lnTo>
                      <a:pt x="545" y="179"/>
                    </a:lnTo>
                    <a:lnTo>
                      <a:pt x="545" y="179"/>
                    </a:lnTo>
                    <a:lnTo>
                      <a:pt x="536" y="179"/>
                    </a:lnTo>
                    <a:lnTo>
                      <a:pt x="536" y="179"/>
                    </a:lnTo>
                    <a:lnTo>
                      <a:pt x="536" y="179"/>
                    </a:lnTo>
                    <a:lnTo>
                      <a:pt x="536" y="179"/>
                    </a:lnTo>
                    <a:lnTo>
                      <a:pt x="536" y="170"/>
                    </a:lnTo>
                    <a:lnTo>
                      <a:pt x="536" y="170"/>
                    </a:lnTo>
                    <a:lnTo>
                      <a:pt x="536" y="170"/>
                    </a:lnTo>
                    <a:lnTo>
                      <a:pt x="536" y="161"/>
                    </a:lnTo>
                    <a:lnTo>
                      <a:pt x="536" y="161"/>
                    </a:lnTo>
                    <a:lnTo>
                      <a:pt x="536" y="161"/>
                    </a:lnTo>
                    <a:lnTo>
                      <a:pt x="536" y="161"/>
                    </a:lnTo>
                    <a:lnTo>
                      <a:pt x="545" y="152"/>
                    </a:lnTo>
                    <a:lnTo>
                      <a:pt x="545" y="152"/>
                    </a:lnTo>
                    <a:lnTo>
                      <a:pt x="545" y="152"/>
                    </a:lnTo>
                    <a:lnTo>
                      <a:pt x="545" y="152"/>
                    </a:lnTo>
                    <a:lnTo>
                      <a:pt x="545" y="152"/>
                    </a:lnTo>
                    <a:lnTo>
                      <a:pt x="545" y="152"/>
                    </a:lnTo>
                    <a:lnTo>
                      <a:pt x="545" y="152"/>
                    </a:lnTo>
                    <a:lnTo>
                      <a:pt x="536" y="143"/>
                    </a:lnTo>
                    <a:lnTo>
                      <a:pt x="536" y="143"/>
                    </a:lnTo>
                    <a:lnTo>
                      <a:pt x="536" y="143"/>
                    </a:lnTo>
                    <a:lnTo>
                      <a:pt x="536" y="152"/>
                    </a:lnTo>
                    <a:lnTo>
                      <a:pt x="536" y="152"/>
                    </a:lnTo>
                    <a:lnTo>
                      <a:pt x="527" y="152"/>
                    </a:lnTo>
                    <a:lnTo>
                      <a:pt x="527" y="152"/>
                    </a:lnTo>
                    <a:lnTo>
                      <a:pt x="527" y="152"/>
                    </a:lnTo>
                    <a:lnTo>
                      <a:pt x="527" y="152"/>
                    </a:lnTo>
                    <a:lnTo>
                      <a:pt x="518" y="152"/>
                    </a:lnTo>
                    <a:lnTo>
                      <a:pt x="518" y="152"/>
                    </a:lnTo>
                    <a:lnTo>
                      <a:pt x="518" y="152"/>
                    </a:lnTo>
                    <a:lnTo>
                      <a:pt x="509" y="143"/>
                    </a:lnTo>
                    <a:lnTo>
                      <a:pt x="509" y="143"/>
                    </a:lnTo>
                    <a:lnTo>
                      <a:pt x="509" y="143"/>
                    </a:lnTo>
                    <a:lnTo>
                      <a:pt x="500" y="143"/>
                    </a:lnTo>
                    <a:lnTo>
                      <a:pt x="500" y="143"/>
                    </a:lnTo>
                    <a:lnTo>
                      <a:pt x="500" y="143"/>
                    </a:lnTo>
                    <a:lnTo>
                      <a:pt x="500" y="143"/>
                    </a:lnTo>
                    <a:lnTo>
                      <a:pt x="491" y="134"/>
                    </a:lnTo>
                    <a:lnTo>
                      <a:pt x="491" y="134"/>
                    </a:lnTo>
                    <a:lnTo>
                      <a:pt x="491" y="134"/>
                    </a:lnTo>
                    <a:lnTo>
                      <a:pt x="491" y="134"/>
                    </a:lnTo>
                    <a:lnTo>
                      <a:pt x="491" y="134"/>
                    </a:lnTo>
                    <a:lnTo>
                      <a:pt x="482" y="134"/>
                    </a:lnTo>
                    <a:lnTo>
                      <a:pt x="482" y="134"/>
                    </a:lnTo>
                    <a:lnTo>
                      <a:pt x="482" y="134"/>
                    </a:lnTo>
                    <a:lnTo>
                      <a:pt x="482" y="134"/>
                    </a:lnTo>
                    <a:lnTo>
                      <a:pt x="482" y="134"/>
                    </a:lnTo>
                    <a:lnTo>
                      <a:pt x="482" y="134"/>
                    </a:lnTo>
                    <a:lnTo>
                      <a:pt x="482" y="143"/>
                    </a:lnTo>
                    <a:lnTo>
                      <a:pt x="482" y="143"/>
                    </a:lnTo>
                    <a:lnTo>
                      <a:pt x="482" y="143"/>
                    </a:lnTo>
                    <a:lnTo>
                      <a:pt x="473" y="143"/>
                    </a:lnTo>
                    <a:lnTo>
                      <a:pt x="473" y="143"/>
                    </a:lnTo>
                    <a:lnTo>
                      <a:pt x="473" y="143"/>
                    </a:lnTo>
                    <a:lnTo>
                      <a:pt x="464" y="143"/>
                    </a:lnTo>
                    <a:lnTo>
                      <a:pt x="464" y="143"/>
                    </a:lnTo>
                    <a:lnTo>
                      <a:pt x="464" y="143"/>
                    </a:lnTo>
                    <a:lnTo>
                      <a:pt x="464" y="143"/>
                    </a:lnTo>
                    <a:lnTo>
                      <a:pt x="455" y="143"/>
                    </a:lnTo>
                    <a:lnTo>
                      <a:pt x="455" y="143"/>
                    </a:lnTo>
                    <a:lnTo>
                      <a:pt x="446" y="143"/>
                    </a:lnTo>
                    <a:lnTo>
                      <a:pt x="446" y="143"/>
                    </a:lnTo>
                    <a:lnTo>
                      <a:pt x="446" y="134"/>
                    </a:lnTo>
                    <a:lnTo>
                      <a:pt x="437" y="134"/>
                    </a:lnTo>
                    <a:lnTo>
                      <a:pt x="437" y="134"/>
                    </a:lnTo>
                    <a:lnTo>
                      <a:pt x="437" y="134"/>
                    </a:lnTo>
                    <a:lnTo>
                      <a:pt x="437" y="125"/>
                    </a:lnTo>
                    <a:lnTo>
                      <a:pt x="437" y="125"/>
                    </a:lnTo>
                    <a:lnTo>
                      <a:pt x="437" y="125"/>
                    </a:lnTo>
                    <a:lnTo>
                      <a:pt x="437" y="116"/>
                    </a:lnTo>
                    <a:lnTo>
                      <a:pt x="437" y="116"/>
                    </a:lnTo>
                    <a:lnTo>
                      <a:pt x="437" y="116"/>
                    </a:lnTo>
                    <a:lnTo>
                      <a:pt x="437" y="107"/>
                    </a:lnTo>
                    <a:lnTo>
                      <a:pt x="437" y="107"/>
                    </a:lnTo>
                    <a:lnTo>
                      <a:pt x="437" y="98"/>
                    </a:lnTo>
                    <a:lnTo>
                      <a:pt x="437" y="89"/>
                    </a:lnTo>
                    <a:lnTo>
                      <a:pt x="437" y="89"/>
                    </a:lnTo>
                    <a:lnTo>
                      <a:pt x="428" y="81"/>
                    </a:lnTo>
                    <a:lnTo>
                      <a:pt x="428" y="72"/>
                    </a:lnTo>
                    <a:lnTo>
                      <a:pt x="428" y="63"/>
                    </a:lnTo>
                    <a:lnTo>
                      <a:pt x="428" y="54"/>
                    </a:lnTo>
                    <a:lnTo>
                      <a:pt x="428" y="54"/>
                    </a:lnTo>
                    <a:lnTo>
                      <a:pt x="428" y="45"/>
                    </a:lnTo>
                    <a:lnTo>
                      <a:pt x="428" y="36"/>
                    </a:lnTo>
                    <a:lnTo>
                      <a:pt x="428" y="36"/>
                    </a:lnTo>
                    <a:lnTo>
                      <a:pt x="428" y="27"/>
                    </a:lnTo>
                    <a:lnTo>
                      <a:pt x="428" y="27"/>
                    </a:lnTo>
                    <a:lnTo>
                      <a:pt x="437" y="18"/>
                    </a:lnTo>
                    <a:lnTo>
                      <a:pt x="437" y="18"/>
                    </a:lnTo>
                    <a:lnTo>
                      <a:pt x="437" y="18"/>
                    </a:lnTo>
                    <a:lnTo>
                      <a:pt x="437" y="9"/>
                    </a:lnTo>
                    <a:lnTo>
                      <a:pt x="437" y="9"/>
                    </a:lnTo>
                    <a:lnTo>
                      <a:pt x="437" y="9"/>
                    </a:lnTo>
                    <a:lnTo>
                      <a:pt x="437" y="9"/>
                    </a:lnTo>
                    <a:lnTo>
                      <a:pt x="437" y="9"/>
                    </a:lnTo>
                    <a:lnTo>
                      <a:pt x="446" y="9"/>
                    </a:lnTo>
                    <a:lnTo>
                      <a:pt x="446" y="9"/>
                    </a:lnTo>
                    <a:lnTo>
                      <a:pt x="446" y="9"/>
                    </a:lnTo>
                    <a:lnTo>
                      <a:pt x="446" y="9"/>
                    </a:lnTo>
                    <a:lnTo>
                      <a:pt x="437" y="9"/>
                    </a:lnTo>
                    <a:lnTo>
                      <a:pt x="437" y="9"/>
                    </a:lnTo>
                    <a:lnTo>
                      <a:pt x="437" y="0"/>
                    </a:lnTo>
                    <a:lnTo>
                      <a:pt x="428" y="0"/>
                    </a:lnTo>
                    <a:lnTo>
                      <a:pt x="428" y="0"/>
                    </a:lnTo>
                    <a:lnTo>
                      <a:pt x="428" y="0"/>
                    </a:lnTo>
                    <a:lnTo>
                      <a:pt x="428" y="0"/>
                    </a:lnTo>
                    <a:lnTo>
                      <a:pt x="411" y="0"/>
                    </a:lnTo>
                    <a:lnTo>
                      <a:pt x="402" y="0"/>
                    </a:lnTo>
                    <a:lnTo>
                      <a:pt x="384" y="0"/>
                    </a:lnTo>
                    <a:lnTo>
                      <a:pt x="375" y="0"/>
                    </a:lnTo>
                    <a:lnTo>
                      <a:pt x="366" y="9"/>
                    </a:lnTo>
                    <a:lnTo>
                      <a:pt x="348" y="9"/>
                    </a:lnTo>
                    <a:lnTo>
                      <a:pt x="348" y="18"/>
                    </a:lnTo>
                    <a:lnTo>
                      <a:pt x="339" y="18"/>
                    </a:lnTo>
                    <a:lnTo>
                      <a:pt x="339" y="27"/>
                    </a:lnTo>
                    <a:lnTo>
                      <a:pt x="348" y="45"/>
                    </a:lnTo>
                    <a:lnTo>
                      <a:pt x="348" y="63"/>
                    </a:lnTo>
                    <a:lnTo>
                      <a:pt x="348" y="89"/>
                    </a:lnTo>
                    <a:lnTo>
                      <a:pt x="366" y="98"/>
                    </a:lnTo>
                    <a:lnTo>
                      <a:pt x="357" y="116"/>
                    </a:lnTo>
                    <a:lnTo>
                      <a:pt x="348" y="125"/>
                    </a:lnTo>
                    <a:lnTo>
                      <a:pt x="339" y="143"/>
                    </a:lnTo>
                    <a:lnTo>
                      <a:pt x="312" y="152"/>
                    </a:lnTo>
                    <a:lnTo>
                      <a:pt x="294" y="161"/>
                    </a:lnTo>
                    <a:lnTo>
                      <a:pt x="277" y="170"/>
                    </a:lnTo>
                    <a:lnTo>
                      <a:pt x="259" y="161"/>
                    </a:lnTo>
                    <a:lnTo>
                      <a:pt x="232" y="143"/>
                    </a:lnTo>
                    <a:lnTo>
                      <a:pt x="232" y="143"/>
                    </a:lnTo>
                    <a:lnTo>
                      <a:pt x="232" y="134"/>
                    </a:lnTo>
                    <a:lnTo>
                      <a:pt x="232" y="134"/>
                    </a:lnTo>
                    <a:lnTo>
                      <a:pt x="223" y="134"/>
                    </a:lnTo>
                    <a:lnTo>
                      <a:pt x="223" y="134"/>
                    </a:lnTo>
                    <a:lnTo>
                      <a:pt x="214" y="125"/>
                    </a:lnTo>
                    <a:lnTo>
                      <a:pt x="214" y="125"/>
                    </a:lnTo>
                    <a:lnTo>
                      <a:pt x="214" y="125"/>
                    </a:lnTo>
                    <a:lnTo>
                      <a:pt x="214" y="125"/>
                    </a:lnTo>
                    <a:lnTo>
                      <a:pt x="214" y="116"/>
                    </a:lnTo>
                    <a:lnTo>
                      <a:pt x="205" y="116"/>
                    </a:lnTo>
                    <a:lnTo>
                      <a:pt x="205" y="116"/>
                    </a:lnTo>
                    <a:lnTo>
                      <a:pt x="205" y="107"/>
                    </a:lnTo>
                    <a:lnTo>
                      <a:pt x="196" y="107"/>
                    </a:lnTo>
                    <a:lnTo>
                      <a:pt x="196" y="107"/>
                    </a:lnTo>
                    <a:lnTo>
                      <a:pt x="196" y="107"/>
                    </a:lnTo>
                    <a:lnTo>
                      <a:pt x="196" y="89"/>
                    </a:lnTo>
                    <a:lnTo>
                      <a:pt x="205" y="63"/>
                    </a:lnTo>
                    <a:lnTo>
                      <a:pt x="205" y="45"/>
                    </a:lnTo>
                    <a:lnTo>
                      <a:pt x="196" y="54"/>
                    </a:lnTo>
                    <a:lnTo>
                      <a:pt x="178" y="54"/>
                    </a:lnTo>
                    <a:lnTo>
                      <a:pt x="178" y="72"/>
                    </a:lnTo>
                    <a:lnTo>
                      <a:pt x="178" y="89"/>
                    </a:lnTo>
                    <a:lnTo>
                      <a:pt x="169" y="89"/>
                    </a:lnTo>
                    <a:lnTo>
                      <a:pt x="152" y="98"/>
                    </a:lnTo>
                    <a:lnTo>
                      <a:pt x="152" y="116"/>
                    </a:lnTo>
                    <a:lnTo>
                      <a:pt x="152" y="134"/>
                    </a:lnTo>
                    <a:lnTo>
                      <a:pt x="134" y="152"/>
                    </a:lnTo>
                    <a:lnTo>
                      <a:pt x="125" y="170"/>
                    </a:lnTo>
                    <a:lnTo>
                      <a:pt x="107" y="179"/>
                    </a:lnTo>
                    <a:lnTo>
                      <a:pt x="98" y="223"/>
                    </a:lnTo>
                    <a:lnTo>
                      <a:pt x="107" y="232"/>
                    </a:lnTo>
                    <a:lnTo>
                      <a:pt x="125" y="241"/>
                    </a:lnTo>
                    <a:lnTo>
                      <a:pt x="125" y="259"/>
                    </a:lnTo>
                    <a:lnTo>
                      <a:pt x="116" y="259"/>
                    </a:lnTo>
                    <a:lnTo>
                      <a:pt x="89" y="259"/>
                    </a:lnTo>
                    <a:lnTo>
                      <a:pt x="71" y="259"/>
                    </a:lnTo>
                    <a:lnTo>
                      <a:pt x="62" y="268"/>
                    </a:lnTo>
                    <a:lnTo>
                      <a:pt x="44" y="277"/>
                    </a:lnTo>
                    <a:lnTo>
                      <a:pt x="44" y="304"/>
                    </a:lnTo>
                    <a:lnTo>
                      <a:pt x="53" y="331"/>
                    </a:lnTo>
                    <a:lnTo>
                      <a:pt x="53" y="339"/>
                    </a:lnTo>
                    <a:lnTo>
                      <a:pt x="44" y="348"/>
                    </a:lnTo>
                    <a:lnTo>
                      <a:pt x="35" y="357"/>
                    </a:lnTo>
                    <a:lnTo>
                      <a:pt x="9" y="357"/>
                    </a:lnTo>
                    <a:lnTo>
                      <a:pt x="0" y="366"/>
                    </a:lnTo>
                    <a:lnTo>
                      <a:pt x="0" y="384"/>
                    </a:lnTo>
                    <a:lnTo>
                      <a:pt x="18" y="402"/>
                    </a:lnTo>
                    <a:lnTo>
                      <a:pt x="35" y="411"/>
                    </a:lnTo>
                    <a:lnTo>
                      <a:pt x="53" y="420"/>
                    </a:lnTo>
                    <a:lnTo>
                      <a:pt x="80" y="420"/>
                    </a:lnTo>
                    <a:lnTo>
                      <a:pt x="89" y="438"/>
                    </a:lnTo>
                    <a:lnTo>
                      <a:pt x="98" y="447"/>
                    </a:lnTo>
                    <a:lnTo>
                      <a:pt x="80" y="473"/>
                    </a:lnTo>
                    <a:lnTo>
                      <a:pt x="80" y="500"/>
                    </a:lnTo>
                    <a:lnTo>
                      <a:pt x="80" y="527"/>
                    </a:lnTo>
                    <a:lnTo>
                      <a:pt x="80" y="536"/>
                    </a:lnTo>
                    <a:lnTo>
                      <a:pt x="98" y="536"/>
                    </a:lnTo>
                    <a:lnTo>
                      <a:pt x="98" y="563"/>
                    </a:lnTo>
                    <a:lnTo>
                      <a:pt x="107" y="581"/>
                    </a:lnTo>
                    <a:lnTo>
                      <a:pt x="125" y="581"/>
                    </a:lnTo>
                    <a:lnTo>
                      <a:pt x="169" y="581"/>
                    </a:lnTo>
                    <a:lnTo>
                      <a:pt x="214" y="581"/>
                    </a:lnTo>
                    <a:lnTo>
                      <a:pt x="241" y="590"/>
                    </a:lnTo>
                    <a:lnTo>
                      <a:pt x="250" y="607"/>
                    </a:lnTo>
                    <a:lnTo>
                      <a:pt x="268" y="616"/>
                    </a:lnTo>
                    <a:lnTo>
                      <a:pt x="277" y="616"/>
                    </a:lnTo>
                    <a:lnTo>
                      <a:pt x="312" y="598"/>
                    </a:lnTo>
                    <a:lnTo>
                      <a:pt x="330" y="598"/>
                    </a:lnTo>
                    <a:lnTo>
                      <a:pt x="348" y="625"/>
                    </a:lnTo>
                    <a:lnTo>
                      <a:pt x="357" y="643"/>
                    </a:lnTo>
                    <a:lnTo>
                      <a:pt x="375" y="643"/>
                    </a:lnTo>
                    <a:lnTo>
                      <a:pt x="393" y="643"/>
                    </a:lnTo>
                    <a:lnTo>
                      <a:pt x="411" y="643"/>
                    </a:lnTo>
                    <a:lnTo>
                      <a:pt x="420" y="634"/>
                    </a:lnTo>
                    <a:lnTo>
                      <a:pt x="428" y="616"/>
                    </a:lnTo>
                    <a:lnTo>
                      <a:pt x="437" y="598"/>
                    </a:lnTo>
                    <a:lnTo>
                      <a:pt x="437" y="590"/>
                    </a:lnTo>
                    <a:lnTo>
                      <a:pt x="437" y="572"/>
                    </a:lnTo>
                    <a:lnTo>
                      <a:pt x="446" y="572"/>
                    </a:lnTo>
                    <a:lnTo>
                      <a:pt x="455" y="572"/>
                    </a:lnTo>
                    <a:lnTo>
                      <a:pt x="473" y="563"/>
                    </a:lnTo>
                    <a:lnTo>
                      <a:pt x="482" y="554"/>
                    </a:lnTo>
                    <a:lnTo>
                      <a:pt x="509" y="563"/>
                    </a:lnTo>
                    <a:lnTo>
                      <a:pt x="509" y="545"/>
                    </a:lnTo>
                    <a:lnTo>
                      <a:pt x="509" y="509"/>
                    </a:lnTo>
                    <a:lnTo>
                      <a:pt x="518" y="491"/>
                    </a:lnTo>
                    <a:lnTo>
                      <a:pt x="527" y="464"/>
                    </a:lnTo>
                    <a:lnTo>
                      <a:pt x="536" y="447"/>
                    </a:lnTo>
                    <a:lnTo>
                      <a:pt x="545" y="438"/>
                    </a:lnTo>
                    <a:lnTo>
                      <a:pt x="571" y="438"/>
                    </a:lnTo>
                    <a:lnTo>
                      <a:pt x="580" y="438"/>
                    </a:lnTo>
                    <a:lnTo>
                      <a:pt x="580" y="447"/>
                    </a:lnTo>
                    <a:lnTo>
                      <a:pt x="589" y="464"/>
                    </a:lnTo>
                    <a:lnTo>
                      <a:pt x="607" y="464"/>
                    </a:lnTo>
                    <a:lnTo>
                      <a:pt x="634" y="464"/>
                    </a:lnTo>
                    <a:lnTo>
                      <a:pt x="634" y="473"/>
                    </a:lnTo>
                    <a:lnTo>
                      <a:pt x="643" y="482"/>
                    </a:lnTo>
                    <a:lnTo>
                      <a:pt x="652" y="482"/>
                    </a:lnTo>
                    <a:lnTo>
                      <a:pt x="661" y="482"/>
                    </a:lnTo>
                    <a:lnTo>
                      <a:pt x="670" y="464"/>
                    </a:lnTo>
                    <a:lnTo>
                      <a:pt x="679" y="447"/>
                    </a:lnTo>
                    <a:lnTo>
                      <a:pt x="679" y="438"/>
                    </a:lnTo>
                    <a:lnTo>
                      <a:pt x="696" y="429"/>
                    </a:lnTo>
                    <a:lnTo>
                      <a:pt x="714" y="420"/>
                    </a:lnTo>
                    <a:lnTo>
                      <a:pt x="723" y="411"/>
                    </a:lnTo>
                    <a:lnTo>
                      <a:pt x="741" y="411"/>
                    </a:lnTo>
                    <a:lnTo>
                      <a:pt x="741" y="393"/>
                    </a:lnTo>
                    <a:lnTo>
                      <a:pt x="741" y="375"/>
                    </a:lnTo>
                    <a:lnTo>
                      <a:pt x="732" y="375"/>
                    </a:lnTo>
                    <a:lnTo>
                      <a:pt x="732" y="348"/>
                    </a:lnTo>
                    <a:lnTo>
                      <a:pt x="732" y="331"/>
                    </a:lnTo>
                    <a:lnTo>
                      <a:pt x="688" y="331"/>
                    </a:lnTo>
                    <a:lnTo>
                      <a:pt x="652" y="322"/>
                    </a:lnTo>
                    <a:lnTo>
                      <a:pt x="625" y="322"/>
                    </a:lnTo>
                    <a:lnTo>
                      <a:pt x="616" y="322"/>
                    </a:lnTo>
                    <a:lnTo>
                      <a:pt x="607" y="322"/>
                    </a:lnTo>
                  </a:path>
                </a:pathLst>
              </a:custGeom>
              <a:solidFill>
                <a:schemeClr val="accent6">
                  <a:lumMod val="50000"/>
                </a:schemeClr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35" name="Freeform 58">
                <a:extLst>
                  <a:ext uri="{FF2B5EF4-FFF2-40B4-BE49-F238E27FC236}">
                    <a16:creationId xmlns:a16="http://schemas.microsoft.com/office/drawing/2014/main" id="{00000000-0008-0000-0C00-000023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8075" y="6331"/>
                <a:ext cx="2101" cy="1990"/>
              </a:xfrm>
              <a:custGeom>
                <a:avLst/>
                <a:gdLst>
                  <a:gd name="T0" fmla="*/ 71 w 947"/>
                  <a:gd name="T1" fmla="*/ 214 h 839"/>
                  <a:gd name="T2" fmla="*/ 134 w 947"/>
                  <a:gd name="T3" fmla="*/ 232 h 839"/>
                  <a:gd name="T4" fmla="*/ 179 w 947"/>
                  <a:gd name="T5" fmla="*/ 232 h 839"/>
                  <a:gd name="T6" fmla="*/ 223 w 947"/>
                  <a:gd name="T7" fmla="*/ 214 h 839"/>
                  <a:gd name="T8" fmla="*/ 286 w 947"/>
                  <a:gd name="T9" fmla="*/ 205 h 839"/>
                  <a:gd name="T10" fmla="*/ 313 w 947"/>
                  <a:gd name="T11" fmla="*/ 170 h 839"/>
                  <a:gd name="T12" fmla="*/ 330 w 947"/>
                  <a:gd name="T13" fmla="*/ 161 h 839"/>
                  <a:gd name="T14" fmla="*/ 420 w 947"/>
                  <a:gd name="T15" fmla="*/ 71 h 839"/>
                  <a:gd name="T16" fmla="*/ 438 w 947"/>
                  <a:gd name="T17" fmla="*/ 36 h 839"/>
                  <a:gd name="T18" fmla="*/ 473 w 947"/>
                  <a:gd name="T19" fmla="*/ 27 h 839"/>
                  <a:gd name="T20" fmla="*/ 527 w 947"/>
                  <a:gd name="T21" fmla="*/ 54 h 839"/>
                  <a:gd name="T22" fmla="*/ 572 w 947"/>
                  <a:gd name="T23" fmla="*/ 89 h 839"/>
                  <a:gd name="T24" fmla="*/ 581 w 947"/>
                  <a:gd name="T25" fmla="*/ 71 h 839"/>
                  <a:gd name="T26" fmla="*/ 607 w 947"/>
                  <a:gd name="T27" fmla="*/ 63 h 839"/>
                  <a:gd name="T28" fmla="*/ 625 w 947"/>
                  <a:gd name="T29" fmla="*/ 45 h 839"/>
                  <a:gd name="T30" fmla="*/ 652 w 947"/>
                  <a:gd name="T31" fmla="*/ 27 h 839"/>
                  <a:gd name="T32" fmla="*/ 652 w 947"/>
                  <a:gd name="T33" fmla="*/ 9 h 839"/>
                  <a:gd name="T34" fmla="*/ 688 w 947"/>
                  <a:gd name="T35" fmla="*/ 0 h 839"/>
                  <a:gd name="T36" fmla="*/ 715 w 947"/>
                  <a:gd name="T37" fmla="*/ 27 h 839"/>
                  <a:gd name="T38" fmla="*/ 723 w 947"/>
                  <a:gd name="T39" fmla="*/ 71 h 839"/>
                  <a:gd name="T40" fmla="*/ 750 w 947"/>
                  <a:gd name="T41" fmla="*/ 89 h 839"/>
                  <a:gd name="T42" fmla="*/ 777 w 947"/>
                  <a:gd name="T43" fmla="*/ 107 h 839"/>
                  <a:gd name="T44" fmla="*/ 786 w 947"/>
                  <a:gd name="T45" fmla="*/ 134 h 839"/>
                  <a:gd name="T46" fmla="*/ 768 w 947"/>
                  <a:gd name="T47" fmla="*/ 170 h 839"/>
                  <a:gd name="T48" fmla="*/ 786 w 947"/>
                  <a:gd name="T49" fmla="*/ 188 h 839"/>
                  <a:gd name="T50" fmla="*/ 813 w 947"/>
                  <a:gd name="T51" fmla="*/ 205 h 839"/>
                  <a:gd name="T52" fmla="*/ 857 w 947"/>
                  <a:gd name="T53" fmla="*/ 214 h 839"/>
                  <a:gd name="T54" fmla="*/ 884 w 947"/>
                  <a:gd name="T55" fmla="*/ 205 h 839"/>
                  <a:gd name="T56" fmla="*/ 893 w 947"/>
                  <a:gd name="T57" fmla="*/ 250 h 839"/>
                  <a:gd name="T58" fmla="*/ 920 w 947"/>
                  <a:gd name="T59" fmla="*/ 286 h 839"/>
                  <a:gd name="T60" fmla="*/ 947 w 947"/>
                  <a:gd name="T61" fmla="*/ 295 h 839"/>
                  <a:gd name="T62" fmla="*/ 938 w 947"/>
                  <a:gd name="T63" fmla="*/ 321 h 839"/>
                  <a:gd name="T64" fmla="*/ 902 w 947"/>
                  <a:gd name="T65" fmla="*/ 348 h 839"/>
                  <a:gd name="T66" fmla="*/ 875 w 947"/>
                  <a:gd name="T67" fmla="*/ 357 h 839"/>
                  <a:gd name="T68" fmla="*/ 840 w 947"/>
                  <a:gd name="T69" fmla="*/ 375 h 839"/>
                  <a:gd name="T70" fmla="*/ 804 w 947"/>
                  <a:gd name="T71" fmla="*/ 429 h 839"/>
                  <a:gd name="T72" fmla="*/ 786 w 947"/>
                  <a:gd name="T73" fmla="*/ 447 h 839"/>
                  <a:gd name="T74" fmla="*/ 741 w 947"/>
                  <a:gd name="T75" fmla="*/ 473 h 839"/>
                  <a:gd name="T76" fmla="*/ 723 w 947"/>
                  <a:gd name="T77" fmla="*/ 500 h 839"/>
                  <a:gd name="T78" fmla="*/ 706 w 947"/>
                  <a:gd name="T79" fmla="*/ 509 h 839"/>
                  <a:gd name="T80" fmla="*/ 652 w 947"/>
                  <a:gd name="T81" fmla="*/ 563 h 839"/>
                  <a:gd name="T82" fmla="*/ 634 w 947"/>
                  <a:gd name="T83" fmla="*/ 589 h 839"/>
                  <a:gd name="T84" fmla="*/ 625 w 947"/>
                  <a:gd name="T85" fmla="*/ 589 h 839"/>
                  <a:gd name="T86" fmla="*/ 607 w 947"/>
                  <a:gd name="T87" fmla="*/ 598 h 839"/>
                  <a:gd name="T88" fmla="*/ 589 w 947"/>
                  <a:gd name="T89" fmla="*/ 616 h 839"/>
                  <a:gd name="T90" fmla="*/ 572 w 947"/>
                  <a:gd name="T91" fmla="*/ 652 h 839"/>
                  <a:gd name="T92" fmla="*/ 554 w 947"/>
                  <a:gd name="T93" fmla="*/ 679 h 839"/>
                  <a:gd name="T94" fmla="*/ 536 w 947"/>
                  <a:gd name="T95" fmla="*/ 697 h 839"/>
                  <a:gd name="T96" fmla="*/ 509 w 947"/>
                  <a:gd name="T97" fmla="*/ 705 h 839"/>
                  <a:gd name="T98" fmla="*/ 491 w 947"/>
                  <a:gd name="T99" fmla="*/ 714 h 839"/>
                  <a:gd name="T100" fmla="*/ 482 w 947"/>
                  <a:gd name="T101" fmla="*/ 759 h 839"/>
                  <a:gd name="T102" fmla="*/ 464 w 947"/>
                  <a:gd name="T103" fmla="*/ 777 h 839"/>
                  <a:gd name="T104" fmla="*/ 455 w 947"/>
                  <a:gd name="T105" fmla="*/ 804 h 839"/>
                  <a:gd name="T106" fmla="*/ 447 w 947"/>
                  <a:gd name="T107" fmla="*/ 822 h 839"/>
                  <a:gd name="T108" fmla="*/ 429 w 947"/>
                  <a:gd name="T109" fmla="*/ 830 h 839"/>
                  <a:gd name="T110" fmla="*/ 402 w 947"/>
                  <a:gd name="T111" fmla="*/ 839 h 839"/>
                  <a:gd name="T112" fmla="*/ 259 w 947"/>
                  <a:gd name="T113" fmla="*/ 777 h 839"/>
                  <a:gd name="T114" fmla="*/ 223 w 947"/>
                  <a:gd name="T115" fmla="*/ 661 h 839"/>
                  <a:gd name="T116" fmla="*/ 125 w 947"/>
                  <a:gd name="T117" fmla="*/ 580 h 839"/>
                  <a:gd name="T118" fmla="*/ 143 w 947"/>
                  <a:gd name="T119" fmla="*/ 455 h 839"/>
                  <a:gd name="T120" fmla="*/ 62 w 947"/>
                  <a:gd name="T121" fmla="*/ 464 h 839"/>
                  <a:gd name="T122" fmla="*/ 0 w 947"/>
                  <a:gd name="T123" fmla="*/ 366 h 839"/>
                  <a:gd name="T124" fmla="*/ 45 w 947"/>
                  <a:gd name="T125" fmla="*/ 250 h 83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947" h="839">
                    <a:moveTo>
                      <a:pt x="45" y="214"/>
                    </a:moveTo>
                    <a:lnTo>
                      <a:pt x="54" y="214"/>
                    </a:lnTo>
                    <a:lnTo>
                      <a:pt x="54" y="214"/>
                    </a:lnTo>
                    <a:lnTo>
                      <a:pt x="62" y="214"/>
                    </a:lnTo>
                    <a:lnTo>
                      <a:pt x="62" y="214"/>
                    </a:lnTo>
                    <a:lnTo>
                      <a:pt x="62" y="214"/>
                    </a:lnTo>
                    <a:lnTo>
                      <a:pt x="71" y="214"/>
                    </a:lnTo>
                    <a:lnTo>
                      <a:pt x="71" y="214"/>
                    </a:lnTo>
                    <a:lnTo>
                      <a:pt x="71" y="214"/>
                    </a:lnTo>
                    <a:lnTo>
                      <a:pt x="80" y="214"/>
                    </a:lnTo>
                    <a:lnTo>
                      <a:pt x="89" y="214"/>
                    </a:lnTo>
                    <a:lnTo>
                      <a:pt x="98" y="214"/>
                    </a:lnTo>
                    <a:lnTo>
                      <a:pt x="107" y="223"/>
                    </a:lnTo>
                    <a:lnTo>
                      <a:pt x="116" y="223"/>
                    </a:lnTo>
                    <a:lnTo>
                      <a:pt x="116" y="223"/>
                    </a:lnTo>
                    <a:lnTo>
                      <a:pt x="125" y="232"/>
                    </a:lnTo>
                    <a:lnTo>
                      <a:pt x="134" y="232"/>
                    </a:lnTo>
                    <a:lnTo>
                      <a:pt x="134" y="232"/>
                    </a:lnTo>
                    <a:lnTo>
                      <a:pt x="143" y="232"/>
                    </a:lnTo>
                    <a:lnTo>
                      <a:pt x="143" y="232"/>
                    </a:lnTo>
                    <a:lnTo>
                      <a:pt x="152" y="232"/>
                    </a:lnTo>
                    <a:lnTo>
                      <a:pt x="152" y="232"/>
                    </a:lnTo>
                    <a:lnTo>
                      <a:pt x="161" y="232"/>
                    </a:lnTo>
                    <a:lnTo>
                      <a:pt x="161" y="232"/>
                    </a:lnTo>
                    <a:lnTo>
                      <a:pt x="170" y="232"/>
                    </a:lnTo>
                    <a:lnTo>
                      <a:pt x="170" y="232"/>
                    </a:lnTo>
                    <a:lnTo>
                      <a:pt x="179" y="232"/>
                    </a:lnTo>
                    <a:lnTo>
                      <a:pt x="179" y="223"/>
                    </a:lnTo>
                    <a:lnTo>
                      <a:pt x="187" y="223"/>
                    </a:lnTo>
                    <a:lnTo>
                      <a:pt x="187" y="223"/>
                    </a:lnTo>
                    <a:lnTo>
                      <a:pt x="196" y="214"/>
                    </a:lnTo>
                    <a:lnTo>
                      <a:pt x="196" y="214"/>
                    </a:lnTo>
                    <a:lnTo>
                      <a:pt x="205" y="214"/>
                    </a:lnTo>
                    <a:lnTo>
                      <a:pt x="205" y="214"/>
                    </a:lnTo>
                    <a:lnTo>
                      <a:pt x="214" y="214"/>
                    </a:lnTo>
                    <a:lnTo>
                      <a:pt x="223" y="214"/>
                    </a:lnTo>
                    <a:lnTo>
                      <a:pt x="223" y="214"/>
                    </a:lnTo>
                    <a:lnTo>
                      <a:pt x="232" y="223"/>
                    </a:lnTo>
                    <a:lnTo>
                      <a:pt x="241" y="223"/>
                    </a:lnTo>
                    <a:lnTo>
                      <a:pt x="250" y="223"/>
                    </a:lnTo>
                    <a:lnTo>
                      <a:pt x="250" y="223"/>
                    </a:lnTo>
                    <a:lnTo>
                      <a:pt x="259" y="214"/>
                    </a:lnTo>
                    <a:lnTo>
                      <a:pt x="268" y="214"/>
                    </a:lnTo>
                    <a:lnTo>
                      <a:pt x="277" y="205"/>
                    </a:lnTo>
                    <a:lnTo>
                      <a:pt x="286" y="205"/>
                    </a:lnTo>
                    <a:lnTo>
                      <a:pt x="286" y="196"/>
                    </a:lnTo>
                    <a:lnTo>
                      <a:pt x="295" y="188"/>
                    </a:lnTo>
                    <a:lnTo>
                      <a:pt x="304" y="188"/>
                    </a:lnTo>
                    <a:lnTo>
                      <a:pt x="304" y="179"/>
                    </a:lnTo>
                    <a:lnTo>
                      <a:pt x="304" y="179"/>
                    </a:lnTo>
                    <a:lnTo>
                      <a:pt x="313" y="179"/>
                    </a:lnTo>
                    <a:lnTo>
                      <a:pt x="313" y="170"/>
                    </a:lnTo>
                    <a:lnTo>
                      <a:pt x="313" y="170"/>
                    </a:lnTo>
                    <a:lnTo>
                      <a:pt x="313" y="170"/>
                    </a:lnTo>
                    <a:lnTo>
                      <a:pt x="313" y="161"/>
                    </a:lnTo>
                    <a:lnTo>
                      <a:pt x="313" y="161"/>
                    </a:lnTo>
                    <a:lnTo>
                      <a:pt x="313" y="161"/>
                    </a:lnTo>
                    <a:lnTo>
                      <a:pt x="321" y="161"/>
                    </a:lnTo>
                    <a:lnTo>
                      <a:pt x="321" y="161"/>
                    </a:lnTo>
                    <a:lnTo>
                      <a:pt x="321" y="161"/>
                    </a:lnTo>
                    <a:lnTo>
                      <a:pt x="321" y="161"/>
                    </a:lnTo>
                    <a:lnTo>
                      <a:pt x="330" y="161"/>
                    </a:lnTo>
                    <a:lnTo>
                      <a:pt x="330" y="161"/>
                    </a:lnTo>
                    <a:lnTo>
                      <a:pt x="330" y="161"/>
                    </a:lnTo>
                    <a:lnTo>
                      <a:pt x="339" y="152"/>
                    </a:lnTo>
                    <a:lnTo>
                      <a:pt x="348" y="143"/>
                    </a:lnTo>
                    <a:lnTo>
                      <a:pt x="357" y="134"/>
                    </a:lnTo>
                    <a:lnTo>
                      <a:pt x="375" y="125"/>
                    </a:lnTo>
                    <a:lnTo>
                      <a:pt x="384" y="107"/>
                    </a:lnTo>
                    <a:lnTo>
                      <a:pt x="402" y="98"/>
                    </a:lnTo>
                    <a:lnTo>
                      <a:pt x="411" y="80"/>
                    </a:lnTo>
                    <a:lnTo>
                      <a:pt x="420" y="71"/>
                    </a:lnTo>
                    <a:lnTo>
                      <a:pt x="429" y="63"/>
                    </a:lnTo>
                    <a:lnTo>
                      <a:pt x="429" y="54"/>
                    </a:lnTo>
                    <a:lnTo>
                      <a:pt x="438" y="54"/>
                    </a:lnTo>
                    <a:lnTo>
                      <a:pt x="438" y="45"/>
                    </a:lnTo>
                    <a:lnTo>
                      <a:pt x="438" y="45"/>
                    </a:lnTo>
                    <a:lnTo>
                      <a:pt x="438" y="45"/>
                    </a:lnTo>
                    <a:lnTo>
                      <a:pt x="438" y="36"/>
                    </a:lnTo>
                    <a:lnTo>
                      <a:pt x="438" y="36"/>
                    </a:lnTo>
                    <a:lnTo>
                      <a:pt x="438" y="36"/>
                    </a:lnTo>
                    <a:lnTo>
                      <a:pt x="438" y="27"/>
                    </a:lnTo>
                    <a:lnTo>
                      <a:pt x="447" y="27"/>
                    </a:lnTo>
                    <a:lnTo>
                      <a:pt x="447" y="27"/>
                    </a:lnTo>
                    <a:lnTo>
                      <a:pt x="447" y="27"/>
                    </a:lnTo>
                    <a:lnTo>
                      <a:pt x="455" y="27"/>
                    </a:lnTo>
                    <a:lnTo>
                      <a:pt x="455" y="27"/>
                    </a:lnTo>
                    <a:lnTo>
                      <a:pt x="455" y="27"/>
                    </a:lnTo>
                    <a:lnTo>
                      <a:pt x="464" y="27"/>
                    </a:lnTo>
                    <a:lnTo>
                      <a:pt x="473" y="27"/>
                    </a:lnTo>
                    <a:lnTo>
                      <a:pt x="473" y="27"/>
                    </a:lnTo>
                    <a:lnTo>
                      <a:pt x="482" y="27"/>
                    </a:lnTo>
                    <a:lnTo>
                      <a:pt x="482" y="27"/>
                    </a:lnTo>
                    <a:lnTo>
                      <a:pt x="491" y="27"/>
                    </a:lnTo>
                    <a:lnTo>
                      <a:pt x="500" y="36"/>
                    </a:lnTo>
                    <a:lnTo>
                      <a:pt x="500" y="36"/>
                    </a:lnTo>
                    <a:lnTo>
                      <a:pt x="509" y="36"/>
                    </a:lnTo>
                    <a:lnTo>
                      <a:pt x="518" y="45"/>
                    </a:lnTo>
                    <a:lnTo>
                      <a:pt x="527" y="54"/>
                    </a:lnTo>
                    <a:lnTo>
                      <a:pt x="527" y="54"/>
                    </a:lnTo>
                    <a:lnTo>
                      <a:pt x="536" y="63"/>
                    </a:lnTo>
                    <a:lnTo>
                      <a:pt x="545" y="71"/>
                    </a:lnTo>
                    <a:lnTo>
                      <a:pt x="554" y="80"/>
                    </a:lnTo>
                    <a:lnTo>
                      <a:pt x="563" y="80"/>
                    </a:lnTo>
                    <a:lnTo>
                      <a:pt x="563" y="89"/>
                    </a:lnTo>
                    <a:lnTo>
                      <a:pt x="572" y="89"/>
                    </a:lnTo>
                    <a:lnTo>
                      <a:pt x="572" y="89"/>
                    </a:lnTo>
                    <a:lnTo>
                      <a:pt x="572" y="89"/>
                    </a:lnTo>
                    <a:lnTo>
                      <a:pt x="581" y="89"/>
                    </a:lnTo>
                    <a:lnTo>
                      <a:pt x="581" y="89"/>
                    </a:lnTo>
                    <a:lnTo>
                      <a:pt x="581" y="89"/>
                    </a:lnTo>
                    <a:lnTo>
                      <a:pt x="581" y="89"/>
                    </a:lnTo>
                    <a:lnTo>
                      <a:pt x="581" y="89"/>
                    </a:lnTo>
                    <a:lnTo>
                      <a:pt x="581" y="80"/>
                    </a:lnTo>
                    <a:lnTo>
                      <a:pt x="581" y="80"/>
                    </a:lnTo>
                    <a:lnTo>
                      <a:pt x="581" y="80"/>
                    </a:lnTo>
                    <a:lnTo>
                      <a:pt x="581" y="71"/>
                    </a:lnTo>
                    <a:lnTo>
                      <a:pt x="581" y="71"/>
                    </a:lnTo>
                    <a:lnTo>
                      <a:pt x="581" y="63"/>
                    </a:lnTo>
                    <a:lnTo>
                      <a:pt x="581" y="63"/>
                    </a:lnTo>
                    <a:lnTo>
                      <a:pt x="581" y="63"/>
                    </a:lnTo>
                    <a:lnTo>
                      <a:pt x="589" y="63"/>
                    </a:lnTo>
                    <a:lnTo>
                      <a:pt x="589" y="54"/>
                    </a:lnTo>
                    <a:lnTo>
                      <a:pt x="598" y="54"/>
                    </a:lnTo>
                    <a:lnTo>
                      <a:pt x="598" y="54"/>
                    </a:lnTo>
                    <a:lnTo>
                      <a:pt x="607" y="63"/>
                    </a:lnTo>
                    <a:lnTo>
                      <a:pt x="607" y="63"/>
                    </a:lnTo>
                    <a:lnTo>
                      <a:pt x="616" y="63"/>
                    </a:lnTo>
                    <a:lnTo>
                      <a:pt x="616" y="54"/>
                    </a:lnTo>
                    <a:lnTo>
                      <a:pt x="625" y="54"/>
                    </a:lnTo>
                    <a:lnTo>
                      <a:pt x="625" y="54"/>
                    </a:lnTo>
                    <a:lnTo>
                      <a:pt x="625" y="54"/>
                    </a:lnTo>
                    <a:lnTo>
                      <a:pt x="625" y="45"/>
                    </a:lnTo>
                    <a:lnTo>
                      <a:pt x="625" y="45"/>
                    </a:lnTo>
                    <a:lnTo>
                      <a:pt x="625" y="45"/>
                    </a:lnTo>
                    <a:lnTo>
                      <a:pt x="634" y="45"/>
                    </a:lnTo>
                    <a:lnTo>
                      <a:pt x="634" y="36"/>
                    </a:lnTo>
                    <a:lnTo>
                      <a:pt x="634" y="36"/>
                    </a:lnTo>
                    <a:lnTo>
                      <a:pt x="634" y="36"/>
                    </a:lnTo>
                    <a:lnTo>
                      <a:pt x="643" y="36"/>
                    </a:lnTo>
                    <a:lnTo>
                      <a:pt x="643" y="27"/>
                    </a:lnTo>
                    <a:lnTo>
                      <a:pt x="643" y="27"/>
                    </a:lnTo>
                    <a:lnTo>
                      <a:pt x="643" y="27"/>
                    </a:lnTo>
                    <a:lnTo>
                      <a:pt x="652" y="27"/>
                    </a:lnTo>
                    <a:lnTo>
                      <a:pt x="652" y="27"/>
                    </a:lnTo>
                    <a:lnTo>
                      <a:pt x="652" y="18"/>
                    </a:lnTo>
                    <a:lnTo>
                      <a:pt x="652" y="18"/>
                    </a:lnTo>
                    <a:lnTo>
                      <a:pt x="652" y="18"/>
                    </a:lnTo>
                    <a:lnTo>
                      <a:pt x="652" y="18"/>
                    </a:lnTo>
                    <a:lnTo>
                      <a:pt x="652" y="18"/>
                    </a:lnTo>
                    <a:lnTo>
                      <a:pt x="652" y="9"/>
                    </a:lnTo>
                    <a:lnTo>
                      <a:pt x="652" y="9"/>
                    </a:lnTo>
                    <a:lnTo>
                      <a:pt x="652" y="9"/>
                    </a:lnTo>
                    <a:lnTo>
                      <a:pt x="652" y="9"/>
                    </a:lnTo>
                    <a:lnTo>
                      <a:pt x="661" y="9"/>
                    </a:lnTo>
                    <a:lnTo>
                      <a:pt x="661" y="9"/>
                    </a:lnTo>
                    <a:lnTo>
                      <a:pt x="670" y="0"/>
                    </a:lnTo>
                    <a:lnTo>
                      <a:pt x="670" y="0"/>
                    </a:lnTo>
                    <a:lnTo>
                      <a:pt x="679" y="0"/>
                    </a:lnTo>
                    <a:lnTo>
                      <a:pt x="679" y="0"/>
                    </a:lnTo>
                    <a:lnTo>
                      <a:pt x="688" y="0"/>
                    </a:lnTo>
                    <a:lnTo>
                      <a:pt x="688" y="0"/>
                    </a:lnTo>
                    <a:lnTo>
                      <a:pt x="697" y="9"/>
                    </a:lnTo>
                    <a:lnTo>
                      <a:pt x="697" y="9"/>
                    </a:lnTo>
                    <a:lnTo>
                      <a:pt x="706" y="9"/>
                    </a:lnTo>
                    <a:lnTo>
                      <a:pt x="706" y="9"/>
                    </a:lnTo>
                    <a:lnTo>
                      <a:pt x="706" y="18"/>
                    </a:lnTo>
                    <a:lnTo>
                      <a:pt x="706" y="18"/>
                    </a:lnTo>
                    <a:lnTo>
                      <a:pt x="715" y="18"/>
                    </a:lnTo>
                    <a:lnTo>
                      <a:pt x="715" y="27"/>
                    </a:lnTo>
                    <a:lnTo>
                      <a:pt x="715" y="27"/>
                    </a:lnTo>
                    <a:lnTo>
                      <a:pt x="715" y="36"/>
                    </a:lnTo>
                    <a:lnTo>
                      <a:pt x="715" y="45"/>
                    </a:lnTo>
                    <a:lnTo>
                      <a:pt x="715" y="45"/>
                    </a:lnTo>
                    <a:lnTo>
                      <a:pt x="715" y="54"/>
                    </a:lnTo>
                    <a:lnTo>
                      <a:pt x="715" y="54"/>
                    </a:lnTo>
                    <a:lnTo>
                      <a:pt x="715" y="63"/>
                    </a:lnTo>
                    <a:lnTo>
                      <a:pt x="723" y="63"/>
                    </a:lnTo>
                    <a:lnTo>
                      <a:pt x="723" y="71"/>
                    </a:lnTo>
                    <a:lnTo>
                      <a:pt x="723" y="71"/>
                    </a:lnTo>
                    <a:lnTo>
                      <a:pt x="723" y="71"/>
                    </a:lnTo>
                    <a:lnTo>
                      <a:pt x="732" y="80"/>
                    </a:lnTo>
                    <a:lnTo>
                      <a:pt x="732" y="80"/>
                    </a:lnTo>
                    <a:lnTo>
                      <a:pt x="732" y="80"/>
                    </a:lnTo>
                    <a:lnTo>
                      <a:pt x="732" y="80"/>
                    </a:lnTo>
                    <a:lnTo>
                      <a:pt x="741" y="89"/>
                    </a:lnTo>
                    <a:lnTo>
                      <a:pt x="741" y="89"/>
                    </a:lnTo>
                    <a:lnTo>
                      <a:pt x="750" y="89"/>
                    </a:lnTo>
                    <a:lnTo>
                      <a:pt x="750" y="89"/>
                    </a:lnTo>
                    <a:lnTo>
                      <a:pt x="750" y="89"/>
                    </a:lnTo>
                    <a:lnTo>
                      <a:pt x="759" y="98"/>
                    </a:lnTo>
                    <a:lnTo>
                      <a:pt x="759" y="98"/>
                    </a:lnTo>
                    <a:lnTo>
                      <a:pt x="759" y="98"/>
                    </a:lnTo>
                    <a:lnTo>
                      <a:pt x="768" y="98"/>
                    </a:lnTo>
                    <a:lnTo>
                      <a:pt x="768" y="98"/>
                    </a:lnTo>
                    <a:lnTo>
                      <a:pt x="777" y="107"/>
                    </a:lnTo>
                    <a:lnTo>
                      <a:pt x="777" y="107"/>
                    </a:lnTo>
                    <a:lnTo>
                      <a:pt x="777" y="107"/>
                    </a:lnTo>
                    <a:lnTo>
                      <a:pt x="786" y="107"/>
                    </a:lnTo>
                    <a:lnTo>
                      <a:pt x="786" y="116"/>
                    </a:lnTo>
                    <a:lnTo>
                      <a:pt x="786" y="116"/>
                    </a:lnTo>
                    <a:lnTo>
                      <a:pt x="786" y="116"/>
                    </a:lnTo>
                    <a:lnTo>
                      <a:pt x="786" y="125"/>
                    </a:lnTo>
                    <a:lnTo>
                      <a:pt x="786" y="125"/>
                    </a:lnTo>
                    <a:lnTo>
                      <a:pt x="786" y="134"/>
                    </a:lnTo>
                    <a:lnTo>
                      <a:pt x="786" y="134"/>
                    </a:lnTo>
                    <a:lnTo>
                      <a:pt x="786" y="134"/>
                    </a:lnTo>
                    <a:lnTo>
                      <a:pt x="786" y="143"/>
                    </a:lnTo>
                    <a:lnTo>
                      <a:pt x="786" y="143"/>
                    </a:lnTo>
                    <a:lnTo>
                      <a:pt x="786" y="143"/>
                    </a:lnTo>
                    <a:lnTo>
                      <a:pt x="777" y="152"/>
                    </a:lnTo>
                    <a:lnTo>
                      <a:pt x="777" y="152"/>
                    </a:lnTo>
                    <a:lnTo>
                      <a:pt x="777" y="161"/>
                    </a:lnTo>
                    <a:lnTo>
                      <a:pt x="777" y="161"/>
                    </a:lnTo>
                    <a:lnTo>
                      <a:pt x="777" y="170"/>
                    </a:lnTo>
                    <a:lnTo>
                      <a:pt x="768" y="170"/>
                    </a:lnTo>
                    <a:lnTo>
                      <a:pt x="768" y="179"/>
                    </a:lnTo>
                    <a:lnTo>
                      <a:pt x="768" y="179"/>
                    </a:lnTo>
                    <a:lnTo>
                      <a:pt x="777" y="179"/>
                    </a:lnTo>
                    <a:lnTo>
                      <a:pt x="777" y="179"/>
                    </a:lnTo>
                    <a:lnTo>
                      <a:pt x="777" y="188"/>
                    </a:lnTo>
                    <a:lnTo>
                      <a:pt x="777" y="188"/>
                    </a:lnTo>
                    <a:lnTo>
                      <a:pt x="777" y="188"/>
                    </a:lnTo>
                    <a:lnTo>
                      <a:pt x="786" y="188"/>
                    </a:lnTo>
                    <a:lnTo>
                      <a:pt x="786" y="188"/>
                    </a:lnTo>
                    <a:lnTo>
                      <a:pt x="786" y="196"/>
                    </a:lnTo>
                    <a:lnTo>
                      <a:pt x="786" y="196"/>
                    </a:lnTo>
                    <a:lnTo>
                      <a:pt x="795" y="196"/>
                    </a:lnTo>
                    <a:lnTo>
                      <a:pt x="795" y="196"/>
                    </a:lnTo>
                    <a:lnTo>
                      <a:pt x="795" y="196"/>
                    </a:lnTo>
                    <a:lnTo>
                      <a:pt x="804" y="196"/>
                    </a:lnTo>
                    <a:lnTo>
                      <a:pt x="804" y="205"/>
                    </a:lnTo>
                    <a:lnTo>
                      <a:pt x="804" y="205"/>
                    </a:lnTo>
                    <a:lnTo>
                      <a:pt x="813" y="205"/>
                    </a:lnTo>
                    <a:lnTo>
                      <a:pt x="813" y="205"/>
                    </a:lnTo>
                    <a:lnTo>
                      <a:pt x="822" y="214"/>
                    </a:lnTo>
                    <a:lnTo>
                      <a:pt x="822" y="214"/>
                    </a:lnTo>
                    <a:lnTo>
                      <a:pt x="831" y="214"/>
                    </a:lnTo>
                    <a:lnTo>
                      <a:pt x="840" y="214"/>
                    </a:lnTo>
                    <a:lnTo>
                      <a:pt x="840" y="223"/>
                    </a:lnTo>
                    <a:lnTo>
                      <a:pt x="848" y="223"/>
                    </a:lnTo>
                    <a:lnTo>
                      <a:pt x="848" y="223"/>
                    </a:lnTo>
                    <a:lnTo>
                      <a:pt x="857" y="214"/>
                    </a:lnTo>
                    <a:lnTo>
                      <a:pt x="857" y="214"/>
                    </a:lnTo>
                    <a:lnTo>
                      <a:pt x="857" y="214"/>
                    </a:lnTo>
                    <a:lnTo>
                      <a:pt x="866" y="205"/>
                    </a:lnTo>
                    <a:lnTo>
                      <a:pt x="866" y="205"/>
                    </a:lnTo>
                    <a:lnTo>
                      <a:pt x="866" y="205"/>
                    </a:lnTo>
                    <a:lnTo>
                      <a:pt x="875" y="205"/>
                    </a:lnTo>
                    <a:lnTo>
                      <a:pt x="875" y="205"/>
                    </a:lnTo>
                    <a:lnTo>
                      <a:pt x="884" y="205"/>
                    </a:lnTo>
                    <a:lnTo>
                      <a:pt x="884" y="205"/>
                    </a:lnTo>
                    <a:lnTo>
                      <a:pt x="884" y="214"/>
                    </a:lnTo>
                    <a:lnTo>
                      <a:pt x="884" y="214"/>
                    </a:lnTo>
                    <a:lnTo>
                      <a:pt x="884" y="214"/>
                    </a:lnTo>
                    <a:lnTo>
                      <a:pt x="893" y="223"/>
                    </a:lnTo>
                    <a:lnTo>
                      <a:pt x="893" y="223"/>
                    </a:lnTo>
                    <a:lnTo>
                      <a:pt x="893" y="232"/>
                    </a:lnTo>
                    <a:lnTo>
                      <a:pt x="893" y="232"/>
                    </a:lnTo>
                    <a:lnTo>
                      <a:pt x="893" y="241"/>
                    </a:lnTo>
                    <a:lnTo>
                      <a:pt x="893" y="250"/>
                    </a:lnTo>
                    <a:lnTo>
                      <a:pt x="893" y="250"/>
                    </a:lnTo>
                    <a:lnTo>
                      <a:pt x="893" y="259"/>
                    </a:lnTo>
                    <a:lnTo>
                      <a:pt x="893" y="268"/>
                    </a:lnTo>
                    <a:lnTo>
                      <a:pt x="893" y="268"/>
                    </a:lnTo>
                    <a:lnTo>
                      <a:pt x="893" y="277"/>
                    </a:lnTo>
                    <a:lnTo>
                      <a:pt x="902" y="277"/>
                    </a:lnTo>
                    <a:lnTo>
                      <a:pt x="911" y="277"/>
                    </a:lnTo>
                    <a:lnTo>
                      <a:pt x="911" y="277"/>
                    </a:lnTo>
                    <a:lnTo>
                      <a:pt x="920" y="286"/>
                    </a:lnTo>
                    <a:lnTo>
                      <a:pt x="929" y="286"/>
                    </a:lnTo>
                    <a:lnTo>
                      <a:pt x="929" y="286"/>
                    </a:lnTo>
                    <a:lnTo>
                      <a:pt x="938" y="286"/>
                    </a:lnTo>
                    <a:lnTo>
                      <a:pt x="938" y="295"/>
                    </a:lnTo>
                    <a:lnTo>
                      <a:pt x="938" y="295"/>
                    </a:lnTo>
                    <a:lnTo>
                      <a:pt x="947" y="295"/>
                    </a:lnTo>
                    <a:lnTo>
                      <a:pt x="947" y="295"/>
                    </a:lnTo>
                    <a:lnTo>
                      <a:pt x="947" y="295"/>
                    </a:lnTo>
                    <a:lnTo>
                      <a:pt x="947" y="295"/>
                    </a:lnTo>
                    <a:lnTo>
                      <a:pt x="947" y="304"/>
                    </a:lnTo>
                    <a:lnTo>
                      <a:pt x="947" y="304"/>
                    </a:lnTo>
                    <a:lnTo>
                      <a:pt x="947" y="304"/>
                    </a:lnTo>
                    <a:lnTo>
                      <a:pt x="947" y="313"/>
                    </a:lnTo>
                    <a:lnTo>
                      <a:pt x="947" y="313"/>
                    </a:lnTo>
                    <a:lnTo>
                      <a:pt x="947" y="313"/>
                    </a:lnTo>
                    <a:lnTo>
                      <a:pt x="938" y="313"/>
                    </a:lnTo>
                    <a:lnTo>
                      <a:pt x="938" y="321"/>
                    </a:lnTo>
                    <a:lnTo>
                      <a:pt x="938" y="321"/>
                    </a:lnTo>
                    <a:lnTo>
                      <a:pt x="929" y="321"/>
                    </a:lnTo>
                    <a:lnTo>
                      <a:pt x="929" y="321"/>
                    </a:lnTo>
                    <a:lnTo>
                      <a:pt x="929" y="330"/>
                    </a:lnTo>
                    <a:lnTo>
                      <a:pt x="920" y="330"/>
                    </a:lnTo>
                    <a:lnTo>
                      <a:pt x="920" y="330"/>
                    </a:lnTo>
                    <a:lnTo>
                      <a:pt x="911" y="339"/>
                    </a:lnTo>
                    <a:lnTo>
                      <a:pt x="911" y="339"/>
                    </a:lnTo>
                    <a:lnTo>
                      <a:pt x="902" y="339"/>
                    </a:lnTo>
                    <a:lnTo>
                      <a:pt x="902" y="348"/>
                    </a:lnTo>
                    <a:lnTo>
                      <a:pt x="893" y="348"/>
                    </a:lnTo>
                    <a:lnTo>
                      <a:pt x="893" y="348"/>
                    </a:lnTo>
                    <a:lnTo>
                      <a:pt x="893" y="348"/>
                    </a:lnTo>
                    <a:lnTo>
                      <a:pt x="884" y="348"/>
                    </a:lnTo>
                    <a:lnTo>
                      <a:pt x="884" y="357"/>
                    </a:lnTo>
                    <a:lnTo>
                      <a:pt x="884" y="357"/>
                    </a:lnTo>
                    <a:lnTo>
                      <a:pt x="875" y="357"/>
                    </a:lnTo>
                    <a:lnTo>
                      <a:pt x="875" y="357"/>
                    </a:lnTo>
                    <a:lnTo>
                      <a:pt x="875" y="357"/>
                    </a:lnTo>
                    <a:lnTo>
                      <a:pt x="866" y="357"/>
                    </a:lnTo>
                    <a:lnTo>
                      <a:pt x="866" y="357"/>
                    </a:lnTo>
                    <a:lnTo>
                      <a:pt x="866" y="357"/>
                    </a:lnTo>
                    <a:lnTo>
                      <a:pt x="866" y="357"/>
                    </a:lnTo>
                    <a:lnTo>
                      <a:pt x="857" y="357"/>
                    </a:lnTo>
                    <a:lnTo>
                      <a:pt x="857" y="357"/>
                    </a:lnTo>
                    <a:lnTo>
                      <a:pt x="848" y="357"/>
                    </a:lnTo>
                    <a:lnTo>
                      <a:pt x="848" y="366"/>
                    </a:lnTo>
                    <a:lnTo>
                      <a:pt x="840" y="375"/>
                    </a:lnTo>
                    <a:lnTo>
                      <a:pt x="840" y="375"/>
                    </a:lnTo>
                    <a:lnTo>
                      <a:pt x="831" y="384"/>
                    </a:lnTo>
                    <a:lnTo>
                      <a:pt x="822" y="393"/>
                    </a:lnTo>
                    <a:lnTo>
                      <a:pt x="822" y="402"/>
                    </a:lnTo>
                    <a:lnTo>
                      <a:pt x="813" y="411"/>
                    </a:lnTo>
                    <a:lnTo>
                      <a:pt x="813" y="411"/>
                    </a:lnTo>
                    <a:lnTo>
                      <a:pt x="804" y="420"/>
                    </a:lnTo>
                    <a:lnTo>
                      <a:pt x="804" y="420"/>
                    </a:lnTo>
                    <a:lnTo>
                      <a:pt x="804" y="429"/>
                    </a:lnTo>
                    <a:lnTo>
                      <a:pt x="804" y="429"/>
                    </a:lnTo>
                    <a:lnTo>
                      <a:pt x="804" y="429"/>
                    </a:lnTo>
                    <a:lnTo>
                      <a:pt x="804" y="438"/>
                    </a:lnTo>
                    <a:lnTo>
                      <a:pt x="804" y="438"/>
                    </a:lnTo>
                    <a:lnTo>
                      <a:pt x="804" y="438"/>
                    </a:lnTo>
                    <a:lnTo>
                      <a:pt x="795" y="438"/>
                    </a:lnTo>
                    <a:lnTo>
                      <a:pt x="795" y="447"/>
                    </a:lnTo>
                    <a:lnTo>
                      <a:pt x="786" y="447"/>
                    </a:lnTo>
                    <a:lnTo>
                      <a:pt x="786" y="447"/>
                    </a:lnTo>
                    <a:lnTo>
                      <a:pt x="777" y="447"/>
                    </a:lnTo>
                    <a:lnTo>
                      <a:pt x="777" y="455"/>
                    </a:lnTo>
                    <a:lnTo>
                      <a:pt x="768" y="455"/>
                    </a:lnTo>
                    <a:lnTo>
                      <a:pt x="768" y="455"/>
                    </a:lnTo>
                    <a:lnTo>
                      <a:pt x="768" y="464"/>
                    </a:lnTo>
                    <a:lnTo>
                      <a:pt x="759" y="464"/>
                    </a:lnTo>
                    <a:lnTo>
                      <a:pt x="750" y="464"/>
                    </a:lnTo>
                    <a:lnTo>
                      <a:pt x="750" y="473"/>
                    </a:lnTo>
                    <a:lnTo>
                      <a:pt x="741" y="473"/>
                    </a:lnTo>
                    <a:lnTo>
                      <a:pt x="741" y="473"/>
                    </a:lnTo>
                    <a:lnTo>
                      <a:pt x="732" y="482"/>
                    </a:lnTo>
                    <a:lnTo>
                      <a:pt x="732" y="482"/>
                    </a:lnTo>
                    <a:lnTo>
                      <a:pt x="732" y="482"/>
                    </a:lnTo>
                    <a:lnTo>
                      <a:pt x="732" y="491"/>
                    </a:lnTo>
                    <a:lnTo>
                      <a:pt x="723" y="491"/>
                    </a:lnTo>
                    <a:lnTo>
                      <a:pt x="723" y="500"/>
                    </a:lnTo>
                    <a:lnTo>
                      <a:pt x="723" y="500"/>
                    </a:lnTo>
                    <a:lnTo>
                      <a:pt x="723" y="500"/>
                    </a:lnTo>
                    <a:lnTo>
                      <a:pt x="723" y="509"/>
                    </a:lnTo>
                    <a:lnTo>
                      <a:pt x="723" y="509"/>
                    </a:lnTo>
                    <a:lnTo>
                      <a:pt x="715" y="509"/>
                    </a:lnTo>
                    <a:lnTo>
                      <a:pt x="715" y="509"/>
                    </a:lnTo>
                    <a:lnTo>
                      <a:pt x="715" y="509"/>
                    </a:lnTo>
                    <a:lnTo>
                      <a:pt x="715" y="509"/>
                    </a:lnTo>
                    <a:lnTo>
                      <a:pt x="706" y="509"/>
                    </a:lnTo>
                    <a:lnTo>
                      <a:pt x="706" y="509"/>
                    </a:lnTo>
                    <a:lnTo>
                      <a:pt x="706" y="509"/>
                    </a:lnTo>
                    <a:lnTo>
                      <a:pt x="697" y="509"/>
                    </a:lnTo>
                    <a:lnTo>
                      <a:pt x="697" y="518"/>
                    </a:lnTo>
                    <a:lnTo>
                      <a:pt x="688" y="518"/>
                    </a:lnTo>
                    <a:lnTo>
                      <a:pt x="679" y="527"/>
                    </a:lnTo>
                    <a:lnTo>
                      <a:pt x="679" y="536"/>
                    </a:lnTo>
                    <a:lnTo>
                      <a:pt x="670" y="545"/>
                    </a:lnTo>
                    <a:lnTo>
                      <a:pt x="661" y="554"/>
                    </a:lnTo>
                    <a:lnTo>
                      <a:pt x="661" y="554"/>
                    </a:lnTo>
                    <a:lnTo>
                      <a:pt x="652" y="563"/>
                    </a:lnTo>
                    <a:lnTo>
                      <a:pt x="652" y="563"/>
                    </a:lnTo>
                    <a:lnTo>
                      <a:pt x="652" y="572"/>
                    </a:lnTo>
                    <a:lnTo>
                      <a:pt x="643" y="572"/>
                    </a:lnTo>
                    <a:lnTo>
                      <a:pt x="643" y="580"/>
                    </a:lnTo>
                    <a:lnTo>
                      <a:pt x="643" y="580"/>
                    </a:lnTo>
                    <a:lnTo>
                      <a:pt x="643" y="580"/>
                    </a:lnTo>
                    <a:lnTo>
                      <a:pt x="643" y="580"/>
                    </a:lnTo>
                    <a:lnTo>
                      <a:pt x="634" y="589"/>
                    </a:lnTo>
                    <a:lnTo>
                      <a:pt x="634" y="589"/>
                    </a:lnTo>
                    <a:lnTo>
                      <a:pt x="634" y="589"/>
                    </a:lnTo>
                    <a:lnTo>
                      <a:pt x="634" y="589"/>
                    </a:lnTo>
                    <a:lnTo>
                      <a:pt x="625" y="589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89"/>
                    </a:lnTo>
                    <a:lnTo>
                      <a:pt x="625" y="589"/>
                    </a:lnTo>
                    <a:lnTo>
                      <a:pt x="625" y="589"/>
                    </a:lnTo>
                    <a:lnTo>
                      <a:pt x="625" y="589"/>
                    </a:lnTo>
                    <a:lnTo>
                      <a:pt x="625" y="598"/>
                    </a:lnTo>
                    <a:lnTo>
                      <a:pt x="625" y="598"/>
                    </a:lnTo>
                    <a:lnTo>
                      <a:pt x="625" y="598"/>
                    </a:lnTo>
                    <a:lnTo>
                      <a:pt x="625" y="598"/>
                    </a:lnTo>
                    <a:lnTo>
                      <a:pt x="616" y="598"/>
                    </a:lnTo>
                    <a:lnTo>
                      <a:pt x="616" y="598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598" y="598"/>
                    </a:lnTo>
                    <a:lnTo>
                      <a:pt x="598" y="598"/>
                    </a:lnTo>
                    <a:lnTo>
                      <a:pt x="589" y="598"/>
                    </a:lnTo>
                    <a:lnTo>
                      <a:pt x="589" y="598"/>
                    </a:lnTo>
                    <a:lnTo>
                      <a:pt x="589" y="607"/>
                    </a:lnTo>
                    <a:lnTo>
                      <a:pt x="589" y="607"/>
                    </a:lnTo>
                    <a:lnTo>
                      <a:pt x="589" y="616"/>
                    </a:lnTo>
                    <a:lnTo>
                      <a:pt x="589" y="616"/>
                    </a:lnTo>
                    <a:lnTo>
                      <a:pt x="589" y="625"/>
                    </a:lnTo>
                    <a:lnTo>
                      <a:pt x="589" y="634"/>
                    </a:lnTo>
                    <a:lnTo>
                      <a:pt x="589" y="634"/>
                    </a:lnTo>
                    <a:lnTo>
                      <a:pt x="581" y="643"/>
                    </a:lnTo>
                    <a:lnTo>
                      <a:pt x="581" y="643"/>
                    </a:lnTo>
                    <a:lnTo>
                      <a:pt x="581" y="643"/>
                    </a:lnTo>
                    <a:lnTo>
                      <a:pt x="581" y="643"/>
                    </a:lnTo>
                    <a:lnTo>
                      <a:pt x="572" y="643"/>
                    </a:lnTo>
                    <a:lnTo>
                      <a:pt x="572" y="652"/>
                    </a:lnTo>
                    <a:lnTo>
                      <a:pt x="563" y="652"/>
                    </a:lnTo>
                    <a:lnTo>
                      <a:pt x="563" y="652"/>
                    </a:lnTo>
                    <a:lnTo>
                      <a:pt x="563" y="652"/>
                    </a:lnTo>
                    <a:lnTo>
                      <a:pt x="563" y="652"/>
                    </a:lnTo>
                    <a:lnTo>
                      <a:pt x="554" y="661"/>
                    </a:lnTo>
                    <a:lnTo>
                      <a:pt x="554" y="670"/>
                    </a:lnTo>
                    <a:lnTo>
                      <a:pt x="554" y="670"/>
                    </a:lnTo>
                    <a:lnTo>
                      <a:pt x="554" y="679"/>
                    </a:lnTo>
                    <a:lnTo>
                      <a:pt x="554" y="679"/>
                    </a:lnTo>
                    <a:lnTo>
                      <a:pt x="554" y="688"/>
                    </a:lnTo>
                    <a:lnTo>
                      <a:pt x="554" y="688"/>
                    </a:lnTo>
                    <a:lnTo>
                      <a:pt x="554" y="688"/>
                    </a:lnTo>
                    <a:lnTo>
                      <a:pt x="554" y="697"/>
                    </a:lnTo>
                    <a:lnTo>
                      <a:pt x="545" y="697"/>
                    </a:lnTo>
                    <a:lnTo>
                      <a:pt x="545" y="697"/>
                    </a:lnTo>
                    <a:lnTo>
                      <a:pt x="545" y="697"/>
                    </a:lnTo>
                    <a:lnTo>
                      <a:pt x="536" y="697"/>
                    </a:lnTo>
                    <a:lnTo>
                      <a:pt x="536" y="697"/>
                    </a:lnTo>
                    <a:lnTo>
                      <a:pt x="527" y="705"/>
                    </a:lnTo>
                    <a:lnTo>
                      <a:pt x="527" y="705"/>
                    </a:lnTo>
                    <a:lnTo>
                      <a:pt x="527" y="705"/>
                    </a:lnTo>
                    <a:lnTo>
                      <a:pt x="518" y="705"/>
                    </a:lnTo>
                    <a:lnTo>
                      <a:pt x="518" y="705"/>
                    </a:lnTo>
                    <a:lnTo>
                      <a:pt x="518" y="705"/>
                    </a:lnTo>
                    <a:lnTo>
                      <a:pt x="509" y="705"/>
                    </a:lnTo>
                    <a:lnTo>
                      <a:pt x="509" y="705"/>
                    </a:lnTo>
                    <a:lnTo>
                      <a:pt x="509" y="705"/>
                    </a:lnTo>
                    <a:lnTo>
                      <a:pt x="500" y="705"/>
                    </a:lnTo>
                    <a:lnTo>
                      <a:pt x="500" y="705"/>
                    </a:lnTo>
                    <a:lnTo>
                      <a:pt x="500" y="705"/>
                    </a:lnTo>
                    <a:lnTo>
                      <a:pt x="500" y="705"/>
                    </a:lnTo>
                    <a:lnTo>
                      <a:pt x="491" y="705"/>
                    </a:lnTo>
                    <a:lnTo>
                      <a:pt x="491" y="705"/>
                    </a:lnTo>
                    <a:lnTo>
                      <a:pt x="491" y="714"/>
                    </a:lnTo>
                    <a:lnTo>
                      <a:pt x="491" y="714"/>
                    </a:lnTo>
                    <a:lnTo>
                      <a:pt x="491" y="714"/>
                    </a:lnTo>
                    <a:lnTo>
                      <a:pt x="491" y="723"/>
                    </a:lnTo>
                    <a:lnTo>
                      <a:pt x="491" y="732"/>
                    </a:lnTo>
                    <a:lnTo>
                      <a:pt x="491" y="732"/>
                    </a:lnTo>
                    <a:lnTo>
                      <a:pt x="491" y="741"/>
                    </a:lnTo>
                    <a:lnTo>
                      <a:pt x="491" y="750"/>
                    </a:lnTo>
                    <a:lnTo>
                      <a:pt x="491" y="750"/>
                    </a:lnTo>
                    <a:lnTo>
                      <a:pt x="491" y="759"/>
                    </a:lnTo>
                    <a:lnTo>
                      <a:pt x="491" y="759"/>
                    </a:lnTo>
                    <a:lnTo>
                      <a:pt x="482" y="759"/>
                    </a:lnTo>
                    <a:lnTo>
                      <a:pt x="482" y="768"/>
                    </a:lnTo>
                    <a:lnTo>
                      <a:pt x="482" y="768"/>
                    </a:lnTo>
                    <a:lnTo>
                      <a:pt x="473" y="768"/>
                    </a:lnTo>
                    <a:lnTo>
                      <a:pt x="473" y="768"/>
                    </a:lnTo>
                    <a:lnTo>
                      <a:pt x="473" y="777"/>
                    </a:lnTo>
                    <a:lnTo>
                      <a:pt x="473" y="777"/>
                    </a:lnTo>
                    <a:lnTo>
                      <a:pt x="464" y="777"/>
                    </a:lnTo>
                    <a:lnTo>
                      <a:pt x="464" y="777"/>
                    </a:lnTo>
                    <a:lnTo>
                      <a:pt x="464" y="777"/>
                    </a:lnTo>
                    <a:lnTo>
                      <a:pt x="464" y="786"/>
                    </a:lnTo>
                    <a:lnTo>
                      <a:pt x="455" y="786"/>
                    </a:lnTo>
                    <a:lnTo>
                      <a:pt x="455" y="786"/>
                    </a:lnTo>
                    <a:lnTo>
                      <a:pt x="455" y="786"/>
                    </a:lnTo>
                    <a:lnTo>
                      <a:pt x="455" y="786"/>
                    </a:lnTo>
                    <a:lnTo>
                      <a:pt x="455" y="795"/>
                    </a:lnTo>
                    <a:lnTo>
                      <a:pt x="455" y="795"/>
                    </a:lnTo>
                    <a:lnTo>
                      <a:pt x="455" y="804"/>
                    </a:lnTo>
                    <a:lnTo>
                      <a:pt x="455" y="804"/>
                    </a:lnTo>
                    <a:lnTo>
                      <a:pt x="447" y="804"/>
                    </a:lnTo>
                    <a:lnTo>
                      <a:pt x="447" y="813"/>
                    </a:lnTo>
                    <a:lnTo>
                      <a:pt x="447" y="813"/>
                    </a:lnTo>
                    <a:lnTo>
                      <a:pt x="447" y="813"/>
                    </a:lnTo>
                    <a:lnTo>
                      <a:pt x="447" y="813"/>
                    </a:lnTo>
                    <a:lnTo>
                      <a:pt x="447" y="813"/>
                    </a:lnTo>
                    <a:lnTo>
                      <a:pt x="447" y="822"/>
                    </a:lnTo>
                    <a:lnTo>
                      <a:pt x="447" y="822"/>
                    </a:lnTo>
                    <a:lnTo>
                      <a:pt x="447" y="822"/>
                    </a:lnTo>
                    <a:lnTo>
                      <a:pt x="438" y="822"/>
                    </a:lnTo>
                    <a:lnTo>
                      <a:pt x="438" y="822"/>
                    </a:lnTo>
                    <a:lnTo>
                      <a:pt x="438" y="822"/>
                    </a:lnTo>
                    <a:lnTo>
                      <a:pt x="438" y="822"/>
                    </a:lnTo>
                    <a:lnTo>
                      <a:pt x="438" y="822"/>
                    </a:lnTo>
                    <a:lnTo>
                      <a:pt x="438" y="822"/>
                    </a:lnTo>
                    <a:lnTo>
                      <a:pt x="438" y="830"/>
                    </a:lnTo>
                    <a:lnTo>
                      <a:pt x="429" y="830"/>
                    </a:lnTo>
                    <a:lnTo>
                      <a:pt x="429" y="830"/>
                    </a:lnTo>
                    <a:lnTo>
                      <a:pt x="429" y="830"/>
                    </a:lnTo>
                    <a:lnTo>
                      <a:pt x="429" y="830"/>
                    </a:lnTo>
                    <a:lnTo>
                      <a:pt x="429" y="839"/>
                    </a:lnTo>
                    <a:lnTo>
                      <a:pt x="420" y="839"/>
                    </a:lnTo>
                    <a:lnTo>
                      <a:pt x="420" y="839"/>
                    </a:lnTo>
                    <a:lnTo>
                      <a:pt x="411" y="839"/>
                    </a:lnTo>
                    <a:lnTo>
                      <a:pt x="411" y="839"/>
                    </a:lnTo>
                    <a:lnTo>
                      <a:pt x="411" y="839"/>
                    </a:lnTo>
                    <a:lnTo>
                      <a:pt x="402" y="839"/>
                    </a:lnTo>
                    <a:lnTo>
                      <a:pt x="402" y="839"/>
                    </a:lnTo>
                    <a:lnTo>
                      <a:pt x="384" y="839"/>
                    </a:lnTo>
                    <a:lnTo>
                      <a:pt x="348" y="830"/>
                    </a:lnTo>
                    <a:lnTo>
                      <a:pt x="330" y="822"/>
                    </a:lnTo>
                    <a:lnTo>
                      <a:pt x="304" y="822"/>
                    </a:lnTo>
                    <a:lnTo>
                      <a:pt x="268" y="822"/>
                    </a:lnTo>
                    <a:lnTo>
                      <a:pt x="250" y="813"/>
                    </a:lnTo>
                    <a:lnTo>
                      <a:pt x="250" y="795"/>
                    </a:lnTo>
                    <a:lnTo>
                      <a:pt x="259" y="777"/>
                    </a:lnTo>
                    <a:lnTo>
                      <a:pt x="286" y="750"/>
                    </a:lnTo>
                    <a:lnTo>
                      <a:pt x="295" y="732"/>
                    </a:lnTo>
                    <a:lnTo>
                      <a:pt x="313" y="705"/>
                    </a:lnTo>
                    <a:lnTo>
                      <a:pt x="304" y="697"/>
                    </a:lnTo>
                    <a:lnTo>
                      <a:pt x="295" y="697"/>
                    </a:lnTo>
                    <a:lnTo>
                      <a:pt x="268" y="688"/>
                    </a:lnTo>
                    <a:lnTo>
                      <a:pt x="250" y="679"/>
                    </a:lnTo>
                    <a:lnTo>
                      <a:pt x="241" y="661"/>
                    </a:lnTo>
                    <a:lnTo>
                      <a:pt x="223" y="661"/>
                    </a:lnTo>
                    <a:lnTo>
                      <a:pt x="223" y="652"/>
                    </a:lnTo>
                    <a:lnTo>
                      <a:pt x="179" y="652"/>
                    </a:lnTo>
                    <a:lnTo>
                      <a:pt x="161" y="652"/>
                    </a:lnTo>
                    <a:lnTo>
                      <a:pt x="152" y="643"/>
                    </a:lnTo>
                    <a:lnTo>
                      <a:pt x="152" y="625"/>
                    </a:lnTo>
                    <a:lnTo>
                      <a:pt x="134" y="616"/>
                    </a:lnTo>
                    <a:lnTo>
                      <a:pt x="125" y="607"/>
                    </a:lnTo>
                    <a:lnTo>
                      <a:pt x="125" y="598"/>
                    </a:lnTo>
                    <a:lnTo>
                      <a:pt x="125" y="580"/>
                    </a:lnTo>
                    <a:lnTo>
                      <a:pt x="98" y="580"/>
                    </a:lnTo>
                    <a:lnTo>
                      <a:pt x="98" y="580"/>
                    </a:lnTo>
                    <a:lnTo>
                      <a:pt x="125" y="572"/>
                    </a:lnTo>
                    <a:lnTo>
                      <a:pt x="134" y="554"/>
                    </a:lnTo>
                    <a:lnTo>
                      <a:pt x="134" y="509"/>
                    </a:lnTo>
                    <a:lnTo>
                      <a:pt x="134" y="491"/>
                    </a:lnTo>
                    <a:lnTo>
                      <a:pt x="152" y="482"/>
                    </a:lnTo>
                    <a:lnTo>
                      <a:pt x="152" y="473"/>
                    </a:lnTo>
                    <a:lnTo>
                      <a:pt x="143" y="455"/>
                    </a:lnTo>
                    <a:lnTo>
                      <a:pt x="134" y="464"/>
                    </a:lnTo>
                    <a:lnTo>
                      <a:pt x="125" y="473"/>
                    </a:lnTo>
                    <a:lnTo>
                      <a:pt x="98" y="473"/>
                    </a:lnTo>
                    <a:lnTo>
                      <a:pt x="89" y="482"/>
                    </a:lnTo>
                    <a:lnTo>
                      <a:pt x="89" y="491"/>
                    </a:lnTo>
                    <a:lnTo>
                      <a:pt x="89" y="518"/>
                    </a:lnTo>
                    <a:lnTo>
                      <a:pt x="71" y="500"/>
                    </a:lnTo>
                    <a:lnTo>
                      <a:pt x="62" y="482"/>
                    </a:lnTo>
                    <a:lnTo>
                      <a:pt x="62" y="464"/>
                    </a:lnTo>
                    <a:lnTo>
                      <a:pt x="54" y="447"/>
                    </a:lnTo>
                    <a:lnTo>
                      <a:pt x="45" y="438"/>
                    </a:lnTo>
                    <a:lnTo>
                      <a:pt x="54" y="411"/>
                    </a:lnTo>
                    <a:lnTo>
                      <a:pt x="36" y="402"/>
                    </a:lnTo>
                    <a:lnTo>
                      <a:pt x="36" y="393"/>
                    </a:lnTo>
                    <a:lnTo>
                      <a:pt x="27" y="393"/>
                    </a:lnTo>
                    <a:lnTo>
                      <a:pt x="0" y="393"/>
                    </a:lnTo>
                    <a:lnTo>
                      <a:pt x="0" y="384"/>
                    </a:lnTo>
                    <a:lnTo>
                      <a:pt x="0" y="366"/>
                    </a:lnTo>
                    <a:lnTo>
                      <a:pt x="0" y="348"/>
                    </a:lnTo>
                    <a:lnTo>
                      <a:pt x="9" y="339"/>
                    </a:lnTo>
                    <a:lnTo>
                      <a:pt x="9" y="330"/>
                    </a:lnTo>
                    <a:lnTo>
                      <a:pt x="9" y="313"/>
                    </a:lnTo>
                    <a:lnTo>
                      <a:pt x="18" y="304"/>
                    </a:lnTo>
                    <a:lnTo>
                      <a:pt x="18" y="277"/>
                    </a:lnTo>
                    <a:lnTo>
                      <a:pt x="18" y="259"/>
                    </a:lnTo>
                    <a:lnTo>
                      <a:pt x="36" y="259"/>
                    </a:lnTo>
                    <a:lnTo>
                      <a:pt x="45" y="250"/>
                    </a:lnTo>
                    <a:lnTo>
                      <a:pt x="45" y="232"/>
                    </a:lnTo>
                    <a:lnTo>
                      <a:pt x="45" y="214"/>
                    </a:lnTo>
                  </a:path>
                </a:pathLst>
              </a:custGeom>
              <a:solidFill>
                <a:schemeClr val="accent6">
                  <a:lumMod val="75000"/>
                </a:schemeClr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36" name="Freeform 59">
                <a:extLst>
                  <a:ext uri="{FF2B5EF4-FFF2-40B4-BE49-F238E27FC236}">
                    <a16:creationId xmlns:a16="http://schemas.microsoft.com/office/drawing/2014/main" id="{00000000-0008-0000-0C00-000024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072" y="7370"/>
                <a:ext cx="1089" cy="1375"/>
              </a:xfrm>
              <a:custGeom>
                <a:avLst/>
                <a:gdLst>
                  <a:gd name="T0" fmla="*/ 464 w 491"/>
                  <a:gd name="T1" fmla="*/ 44 h 580"/>
                  <a:gd name="T2" fmla="*/ 428 w 491"/>
                  <a:gd name="T3" fmla="*/ 17 h 580"/>
                  <a:gd name="T4" fmla="*/ 384 w 491"/>
                  <a:gd name="T5" fmla="*/ 35 h 580"/>
                  <a:gd name="T6" fmla="*/ 357 w 491"/>
                  <a:gd name="T7" fmla="*/ 9 h 580"/>
                  <a:gd name="T8" fmla="*/ 285 w 491"/>
                  <a:gd name="T9" fmla="*/ 0 h 580"/>
                  <a:gd name="T10" fmla="*/ 223 w 491"/>
                  <a:gd name="T11" fmla="*/ 0 h 580"/>
                  <a:gd name="T12" fmla="*/ 196 w 491"/>
                  <a:gd name="T13" fmla="*/ 26 h 580"/>
                  <a:gd name="T14" fmla="*/ 160 w 491"/>
                  <a:gd name="T15" fmla="*/ 26 h 580"/>
                  <a:gd name="T16" fmla="*/ 125 w 491"/>
                  <a:gd name="T17" fmla="*/ 35 h 580"/>
                  <a:gd name="T18" fmla="*/ 89 w 491"/>
                  <a:gd name="T19" fmla="*/ 44 h 580"/>
                  <a:gd name="T20" fmla="*/ 98 w 491"/>
                  <a:gd name="T21" fmla="*/ 71 h 580"/>
                  <a:gd name="T22" fmla="*/ 107 w 491"/>
                  <a:gd name="T23" fmla="*/ 80 h 580"/>
                  <a:gd name="T24" fmla="*/ 116 w 491"/>
                  <a:gd name="T25" fmla="*/ 107 h 580"/>
                  <a:gd name="T26" fmla="*/ 125 w 491"/>
                  <a:gd name="T27" fmla="*/ 125 h 580"/>
                  <a:gd name="T28" fmla="*/ 134 w 491"/>
                  <a:gd name="T29" fmla="*/ 151 h 580"/>
                  <a:gd name="T30" fmla="*/ 125 w 491"/>
                  <a:gd name="T31" fmla="*/ 169 h 580"/>
                  <a:gd name="T32" fmla="*/ 98 w 491"/>
                  <a:gd name="T33" fmla="*/ 187 h 580"/>
                  <a:gd name="T34" fmla="*/ 98 w 491"/>
                  <a:gd name="T35" fmla="*/ 205 h 580"/>
                  <a:gd name="T36" fmla="*/ 71 w 491"/>
                  <a:gd name="T37" fmla="*/ 223 h 580"/>
                  <a:gd name="T38" fmla="*/ 62 w 491"/>
                  <a:gd name="T39" fmla="*/ 241 h 580"/>
                  <a:gd name="T40" fmla="*/ 53 w 491"/>
                  <a:gd name="T41" fmla="*/ 276 h 580"/>
                  <a:gd name="T42" fmla="*/ 71 w 491"/>
                  <a:gd name="T43" fmla="*/ 285 h 580"/>
                  <a:gd name="T44" fmla="*/ 89 w 491"/>
                  <a:gd name="T45" fmla="*/ 303 h 580"/>
                  <a:gd name="T46" fmla="*/ 80 w 491"/>
                  <a:gd name="T47" fmla="*/ 339 h 580"/>
                  <a:gd name="T48" fmla="*/ 62 w 491"/>
                  <a:gd name="T49" fmla="*/ 348 h 580"/>
                  <a:gd name="T50" fmla="*/ 26 w 491"/>
                  <a:gd name="T51" fmla="*/ 348 h 580"/>
                  <a:gd name="T52" fmla="*/ 17 w 491"/>
                  <a:gd name="T53" fmla="*/ 366 h 580"/>
                  <a:gd name="T54" fmla="*/ 9 w 491"/>
                  <a:gd name="T55" fmla="*/ 392 h 580"/>
                  <a:gd name="T56" fmla="*/ 0 w 491"/>
                  <a:gd name="T57" fmla="*/ 410 h 580"/>
                  <a:gd name="T58" fmla="*/ 9 w 491"/>
                  <a:gd name="T59" fmla="*/ 446 h 580"/>
                  <a:gd name="T60" fmla="*/ 35 w 491"/>
                  <a:gd name="T61" fmla="*/ 464 h 580"/>
                  <a:gd name="T62" fmla="*/ 35 w 491"/>
                  <a:gd name="T63" fmla="*/ 491 h 580"/>
                  <a:gd name="T64" fmla="*/ 62 w 491"/>
                  <a:gd name="T65" fmla="*/ 517 h 580"/>
                  <a:gd name="T66" fmla="*/ 62 w 491"/>
                  <a:gd name="T67" fmla="*/ 553 h 580"/>
                  <a:gd name="T68" fmla="*/ 89 w 491"/>
                  <a:gd name="T69" fmla="*/ 580 h 580"/>
                  <a:gd name="T70" fmla="*/ 134 w 491"/>
                  <a:gd name="T71" fmla="*/ 571 h 580"/>
                  <a:gd name="T72" fmla="*/ 178 w 491"/>
                  <a:gd name="T73" fmla="*/ 544 h 580"/>
                  <a:gd name="T74" fmla="*/ 196 w 491"/>
                  <a:gd name="T75" fmla="*/ 526 h 580"/>
                  <a:gd name="T76" fmla="*/ 241 w 491"/>
                  <a:gd name="T77" fmla="*/ 526 h 580"/>
                  <a:gd name="T78" fmla="*/ 294 w 491"/>
                  <a:gd name="T79" fmla="*/ 526 h 580"/>
                  <a:gd name="T80" fmla="*/ 303 w 491"/>
                  <a:gd name="T81" fmla="*/ 500 h 580"/>
                  <a:gd name="T82" fmla="*/ 303 w 491"/>
                  <a:gd name="T83" fmla="*/ 464 h 580"/>
                  <a:gd name="T84" fmla="*/ 321 w 491"/>
                  <a:gd name="T85" fmla="*/ 455 h 580"/>
                  <a:gd name="T86" fmla="*/ 339 w 491"/>
                  <a:gd name="T87" fmla="*/ 437 h 580"/>
                  <a:gd name="T88" fmla="*/ 366 w 491"/>
                  <a:gd name="T89" fmla="*/ 428 h 580"/>
                  <a:gd name="T90" fmla="*/ 402 w 491"/>
                  <a:gd name="T91" fmla="*/ 428 h 580"/>
                  <a:gd name="T92" fmla="*/ 410 w 491"/>
                  <a:gd name="T93" fmla="*/ 419 h 580"/>
                  <a:gd name="T94" fmla="*/ 419 w 491"/>
                  <a:gd name="T95" fmla="*/ 392 h 580"/>
                  <a:gd name="T96" fmla="*/ 437 w 491"/>
                  <a:gd name="T97" fmla="*/ 392 h 580"/>
                  <a:gd name="T98" fmla="*/ 464 w 491"/>
                  <a:gd name="T99" fmla="*/ 384 h 580"/>
                  <a:gd name="T100" fmla="*/ 473 w 491"/>
                  <a:gd name="T101" fmla="*/ 348 h 580"/>
                  <a:gd name="T102" fmla="*/ 482 w 491"/>
                  <a:gd name="T103" fmla="*/ 339 h 580"/>
                  <a:gd name="T104" fmla="*/ 491 w 491"/>
                  <a:gd name="T105" fmla="*/ 312 h 580"/>
                  <a:gd name="T106" fmla="*/ 482 w 491"/>
                  <a:gd name="T107" fmla="*/ 285 h 580"/>
                  <a:gd name="T108" fmla="*/ 464 w 491"/>
                  <a:gd name="T109" fmla="*/ 250 h 580"/>
                  <a:gd name="T110" fmla="*/ 473 w 491"/>
                  <a:gd name="T111" fmla="*/ 214 h 580"/>
                  <a:gd name="T112" fmla="*/ 491 w 491"/>
                  <a:gd name="T113" fmla="*/ 196 h 580"/>
                  <a:gd name="T114" fmla="*/ 482 w 491"/>
                  <a:gd name="T115" fmla="*/ 169 h 580"/>
                  <a:gd name="T116" fmla="*/ 446 w 491"/>
                  <a:gd name="T117" fmla="*/ 160 h 580"/>
                  <a:gd name="T118" fmla="*/ 446 w 491"/>
                  <a:gd name="T119" fmla="*/ 125 h 580"/>
                  <a:gd name="T120" fmla="*/ 464 w 491"/>
                  <a:gd name="T121" fmla="*/ 98 h 580"/>
                  <a:gd name="T122" fmla="*/ 473 w 491"/>
                  <a:gd name="T123" fmla="*/ 62 h 58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</a:cxnLst>
                <a:rect l="0" t="0" r="r" b="b"/>
                <a:pathLst>
                  <a:path w="491" h="580">
                    <a:moveTo>
                      <a:pt x="473" y="62"/>
                    </a:moveTo>
                    <a:lnTo>
                      <a:pt x="464" y="44"/>
                    </a:lnTo>
                    <a:lnTo>
                      <a:pt x="446" y="17"/>
                    </a:lnTo>
                    <a:lnTo>
                      <a:pt x="428" y="17"/>
                    </a:lnTo>
                    <a:lnTo>
                      <a:pt x="393" y="35"/>
                    </a:lnTo>
                    <a:lnTo>
                      <a:pt x="384" y="35"/>
                    </a:lnTo>
                    <a:lnTo>
                      <a:pt x="366" y="26"/>
                    </a:lnTo>
                    <a:lnTo>
                      <a:pt x="357" y="9"/>
                    </a:lnTo>
                    <a:lnTo>
                      <a:pt x="330" y="0"/>
                    </a:lnTo>
                    <a:lnTo>
                      <a:pt x="285" y="0"/>
                    </a:lnTo>
                    <a:lnTo>
                      <a:pt x="241" y="0"/>
                    </a:lnTo>
                    <a:lnTo>
                      <a:pt x="223" y="0"/>
                    </a:lnTo>
                    <a:lnTo>
                      <a:pt x="214" y="9"/>
                    </a:lnTo>
                    <a:lnTo>
                      <a:pt x="196" y="26"/>
                    </a:lnTo>
                    <a:lnTo>
                      <a:pt x="169" y="26"/>
                    </a:lnTo>
                    <a:lnTo>
                      <a:pt x="160" y="26"/>
                    </a:lnTo>
                    <a:lnTo>
                      <a:pt x="143" y="35"/>
                    </a:lnTo>
                    <a:lnTo>
                      <a:pt x="125" y="35"/>
                    </a:lnTo>
                    <a:lnTo>
                      <a:pt x="107" y="35"/>
                    </a:lnTo>
                    <a:lnTo>
                      <a:pt x="89" y="44"/>
                    </a:lnTo>
                    <a:lnTo>
                      <a:pt x="80" y="62"/>
                    </a:lnTo>
                    <a:lnTo>
                      <a:pt x="98" y="71"/>
                    </a:lnTo>
                    <a:lnTo>
                      <a:pt x="107" y="71"/>
                    </a:lnTo>
                    <a:lnTo>
                      <a:pt x="107" y="80"/>
                    </a:lnTo>
                    <a:lnTo>
                      <a:pt x="116" y="89"/>
                    </a:lnTo>
                    <a:lnTo>
                      <a:pt x="116" y="107"/>
                    </a:lnTo>
                    <a:lnTo>
                      <a:pt x="125" y="116"/>
                    </a:lnTo>
                    <a:lnTo>
                      <a:pt x="125" y="125"/>
                    </a:lnTo>
                    <a:lnTo>
                      <a:pt x="134" y="142"/>
                    </a:lnTo>
                    <a:lnTo>
                      <a:pt x="134" y="151"/>
                    </a:lnTo>
                    <a:lnTo>
                      <a:pt x="125" y="169"/>
                    </a:lnTo>
                    <a:lnTo>
                      <a:pt x="125" y="169"/>
                    </a:lnTo>
                    <a:lnTo>
                      <a:pt x="107" y="178"/>
                    </a:lnTo>
                    <a:lnTo>
                      <a:pt x="98" y="187"/>
                    </a:lnTo>
                    <a:lnTo>
                      <a:pt x="98" y="196"/>
                    </a:lnTo>
                    <a:lnTo>
                      <a:pt x="98" y="205"/>
                    </a:lnTo>
                    <a:lnTo>
                      <a:pt x="80" y="214"/>
                    </a:lnTo>
                    <a:lnTo>
                      <a:pt x="71" y="223"/>
                    </a:lnTo>
                    <a:lnTo>
                      <a:pt x="62" y="232"/>
                    </a:lnTo>
                    <a:lnTo>
                      <a:pt x="62" y="241"/>
                    </a:lnTo>
                    <a:lnTo>
                      <a:pt x="53" y="250"/>
                    </a:lnTo>
                    <a:lnTo>
                      <a:pt x="53" y="276"/>
                    </a:lnTo>
                    <a:lnTo>
                      <a:pt x="62" y="285"/>
                    </a:lnTo>
                    <a:lnTo>
                      <a:pt x="71" y="285"/>
                    </a:lnTo>
                    <a:lnTo>
                      <a:pt x="80" y="294"/>
                    </a:lnTo>
                    <a:lnTo>
                      <a:pt x="89" y="303"/>
                    </a:lnTo>
                    <a:lnTo>
                      <a:pt x="89" y="321"/>
                    </a:lnTo>
                    <a:lnTo>
                      <a:pt x="80" y="339"/>
                    </a:lnTo>
                    <a:lnTo>
                      <a:pt x="80" y="348"/>
                    </a:lnTo>
                    <a:lnTo>
                      <a:pt x="62" y="348"/>
                    </a:lnTo>
                    <a:lnTo>
                      <a:pt x="44" y="348"/>
                    </a:lnTo>
                    <a:lnTo>
                      <a:pt x="26" y="348"/>
                    </a:lnTo>
                    <a:lnTo>
                      <a:pt x="26" y="357"/>
                    </a:lnTo>
                    <a:lnTo>
                      <a:pt x="17" y="366"/>
                    </a:lnTo>
                    <a:lnTo>
                      <a:pt x="26" y="384"/>
                    </a:lnTo>
                    <a:lnTo>
                      <a:pt x="9" y="392"/>
                    </a:lnTo>
                    <a:lnTo>
                      <a:pt x="0" y="392"/>
                    </a:lnTo>
                    <a:lnTo>
                      <a:pt x="0" y="410"/>
                    </a:lnTo>
                    <a:lnTo>
                      <a:pt x="9" y="428"/>
                    </a:lnTo>
                    <a:lnTo>
                      <a:pt x="9" y="446"/>
                    </a:lnTo>
                    <a:lnTo>
                      <a:pt x="17" y="464"/>
                    </a:lnTo>
                    <a:lnTo>
                      <a:pt x="35" y="464"/>
                    </a:lnTo>
                    <a:lnTo>
                      <a:pt x="35" y="491"/>
                    </a:lnTo>
                    <a:lnTo>
                      <a:pt x="35" y="491"/>
                    </a:lnTo>
                    <a:lnTo>
                      <a:pt x="44" y="500"/>
                    </a:lnTo>
                    <a:lnTo>
                      <a:pt x="62" y="517"/>
                    </a:lnTo>
                    <a:lnTo>
                      <a:pt x="62" y="526"/>
                    </a:lnTo>
                    <a:lnTo>
                      <a:pt x="62" y="553"/>
                    </a:lnTo>
                    <a:lnTo>
                      <a:pt x="80" y="571"/>
                    </a:lnTo>
                    <a:lnTo>
                      <a:pt x="89" y="580"/>
                    </a:lnTo>
                    <a:lnTo>
                      <a:pt x="116" y="580"/>
                    </a:lnTo>
                    <a:lnTo>
                      <a:pt x="134" y="571"/>
                    </a:lnTo>
                    <a:lnTo>
                      <a:pt x="151" y="562"/>
                    </a:lnTo>
                    <a:lnTo>
                      <a:pt x="178" y="544"/>
                    </a:lnTo>
                    <a:lnTo>
                      <a:pt x="187" y="535"/>
                    </a:lnTo>
                    <a:lnTo>
                      <a:pt x="196" y="526"/>
                    </a:lnTo>
                    <a:lnTo>
                      <a:pt x="214" y="526"/>
                    </a:lnTo>
                    <a:lnTo>
                      <a:pt x="241" y="526"/>
                    </a:lnTo>
                    <a:lnTo>
                      <a:pt x="268" y="526"/>
                    </a:lnTo>
                    <a:lnTo>
                      <a:pt x="294" y="526"/>
                    </a:lnTo>
                    <a:lnTo>
                      <a:pt x="294" y="509"/>
                    </a:lnTo>
                    <a:lnTo>
                      <a:pt x="303" y="500"/>
                    </a:lnTo>
                    <a:lnTo>
                      <a:pt x="303" y="482"/>
                    </a:lnTo>
                    <a:lnTo>
                      <a:pt x="303" y="464"/>
                    </a:lnTo>
                    <a:lnTo>
                      <a:pt x="321" y="464"/>
                    </a:lnTo>
                    <a:lnTo>
                      <a:pt x="321" y="455"/>
                    </a:lnTo>
                    <a:lnTo>
                      <a:pt x="321" y="446"/>
                    </a:lnTo>
                    <a:lnTo>
                      <a:pt x="339" y="437"/>
                    </a:lnTo>
                    <a:lnTo>
                      <a:pt x="357" y="428"/>
                    </a:lnTo>
                    <a:lnTo>
                      <a:pt x="366" y="428"/>
                    </a:lnTo>
                    <a:lnTo>
                      <a:pt x="384" y="428"/>
                    </a:lnTo>
                    <a:lnTo>
                      <a:pt x="402" y="428"/>
                    </a:lnTo>
                    <a:lnTo>
                      <a:pt x="402" y="428"/>
                    </a:lnTo>
                    <a:lnTo>
                      <a:pt x="410" y="419"/>
                    </a:lnTo>
                    <a:lnTo>
                      <a:pt x="419" y="401"/>
                    </a:lnTo>
                    <a:lnTo>
                      <a:pt x="419" y="392"/>
                    </a:lnTo>
                    <a:lnTo>
                      <a:pt x="419" y="392"/>
                    </a:lnTo>
                    <a:lnTo>
                      <a:pt x="437" y="392"/>
                    </a:lnTo>
                    <a:lnTo>
                      <a:pt x="455" y="384"/>
                    </a:lnTo>
                    <a:lnTo>
                      <a:pt x="464" y="384"/>
                    </a:lnTo>
                    <a:lnTo>
                      <a:pt x="473" y="366"/>
                    </a:lnTo>
                    <a:lnTo>
                      <a:pt x="473" y="348"/>
                    </a:lnTo>
                    <a:lnTo>
                      <a:pt x="473" y="339"/>
                    </a:lnTo>
                    <a:lnTo>
                      <a:pt x="482" y="339"/>
                    </a:lnTo>
                    <a:lnTo>
                      <a:pt x="482" y="321"/>
                    </a:lnTo>
                    <a:lnTo>
                      <a:pt x="491" y="312"/>
                    </a:lnTo>
                    <a:lnTo>
                      <a:pt x="491" y="294"/>
                    </a:lnTo>
                    <a:lnTo>
                      <a:pt x="482" y="285"/>
                    </a:lnTo>
                    <a:lnTo>
                      <a:pt x="464" y="276"/>
                    </a:lnTo>
                    <a:lnTo>
                      <a:pt x="464" y="250"/>
                    </a:lnTo>
                    <a:lnTo>
                      <a:pt x="464" y="232"/>
                    </a:lnTo>
                    <a:lnTo>
                      <a:pt x="473" y="214"/>
                    </a:lnTo>
                    <a:lnTo>
                      <a:pt x="491" y="214"/>
                    </a:lnTo>
                    <a:lnTo>
                      <a:pt x="491" y="196"/>
                    </a:lnTo>
                    <a:lnTo>
                      <a:pt x="491" y="178"/>
                    </a:lnTo>
                    <a:lnTo>
                      <a:pt x="482" y="169"/>
                    </a:lnTo>
                    <a:lnTo>
                      <a:pt x="464" y="169"/>
                    </a:lnTo>
                    <a:lnTo>
                      <a:pt x="446" y="160"/>
                    </a:lnTo>
                    <a:lnTo>
                      <a:pt x="446" y="142"/>
                    </a:lnTo>
                    <a:lnTo>
                      <a:pt x="446" y="125"/>
                    </a:lnTo>
                    <a:lnTo>
                      <a:pt x="455" y="116"/>
                    </a:lnTo>
                    <a:lnTo>
                      <a:pt x="464" y="98"/>
                    </a:lnTo>
                    <a:lnTo>
                      <a:pt x="464" y="80"/>
                    </a:lnTo>
                    <a:lnTo>
                      <a:pt x="473" y="62"/>
                    </a:lnTo>
                  </a:path>
                </a:pathLst>
              </a:custGeom>
              <a:solidFill>
                <a:schemeClr val="accent6">
                  <a:lumMod val="60000"/>
                  <a:lumOff val="40000"/>
                </a:schemeClr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37" name="Freeform 60">
                <a:extLst>
                  <a:ext uri="{FF2B5EF4-FFF2-40B4-BE49-F238E27FC236}">
                    <a16:creationId xmlns:a16="http://schemas.microsoft.com/office/drawing/2014/main" id="{00000000-0008-0000-0C00-000025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950" y="7030"/>
                <a:ext cx="1051" cy="1547"/>
              </a:xfrm>
              <a:custGeom>
                <a:avLst/>
                <a:gdLst>
                  <a:gd name="T0" fmla="*/ 161 w 474"/>
                  <a:gd name="T1" fmla="*/ 553 h 652"/>
                  <a:gd name="T2" fmla="*/ 98 w 474"/>
                  <a:gd name="T3" fmla="*/ 482 h 652"/>
                  <a:gd name="T4" fmla="*/ 63 w 474"/>
                  <a:gd name="T5" fmla="*/ 384 h 652"/>
                  <a:gd name="T6" fmla="*/ 98 w 474"/>
                  <a:gd name="T7" fmla="*/ 312 h 652"/>
                  <a:gd name="T8" fmla="*/ 36 w 474"/>
                  <a:gd name="T9" fmla="*/ 250 h 652"/>
                  <a:gd name="T10" fmla="*/ 18 w 474"/>
                  <a:gd name="T11" fmla="*/ 196 h 652"/>
                  <a:gd name="T12" fmla="*/ 0 w 474"/>
                  <a:gd name="T13" fmla="*/ 143 h 652"/>
                  <a:gd name="T14" fmla="*/ 81 w 474"/>
                  <a:gd name="T15" fmla="*/ 125 h 652"/>
                  <a:gd name="T16" fmla="*/ 143 w 474"/>
                  <a:gd name="T17" fmla="*/ 89 h 652"/>
                  <a:gd name="T18" fmla="*/ 179 w 474"/>
                  <a:gd name="T19" fmla="*/ 18 h 652"/>
                  <a:gd name="T20" fmla="*/ 197 w 474"/>
                  <a:gd name="T21" fmla="*/ 0 h 652"/>
                  <a:gd name="T22" fmla="*/ 206 w 474"/>
                  <a:gd name="T23" fmla="*/ 0 h 652"/>
                  <a:gd name="T24" fmla="*/ 215 w 474"/>
                  <a:gd name="T25" fmla="*/ 0 h 652"/>
                  <a:gd name="T26" fmla="*/ 215 w 474"/>
                  <a:gd name="T27" fmla="*/ 9 h 652"/>
                  <a:gd name="T28" fmla="*/ 215 w 474"/>
                  <a:gd name="T29" fmla="*/ 26 h 652"/>
                  <a:gd name="T30" fmla="*/ 215 w 474"/>
                  <a:gd name="T31" fmla="*/ 35 h 652"/>
                  <a:gd name="T32" fmla="*/ 223 w 474"/>
                  <a:gd name="T33" fmla="*/ 53 h 652"/>
                  <a:gd name="T34" fmla="*/ 232 w 474"/>
                  <a:gd name="T35" fmla="*/ 44 h 652"/>
                  <a:gd name="T36" fmla="*/ 241 w 474"/>
                  <a:gd name="T37" fmla="*/ 53 h 652"/>
                  <a:gd name="T38" fmla="*/ 241 w 474"/>
                  <a:gd name="T39" fmla="*/ 62 h 652"/>
                  <a:gd name="T40" fmla="*/ 241 w 474"/>
                  <a:gd name="T41" fmla="*/ 80 h 652"/>
                  <a:gd name="T42" fmla="*/ 241 w 474"/>
                  <a:gd name="T43" fmla="*/ 89 h 652"/>
                  <a:gd name="T44" fmla="*/ 250 w 474"/>
                  <a:gd name="T45" fmla="*/ 89 h 652"/>
                  <a:gd name="T46" fmla="*/ 268 w 474"/>
                  <a:gd name="T47" fmla="*/ 89 h 652"/>
                  <a:gd name="T48" fmla="*/ 268 w 474"/>
                  <a:gd name="T49" fmla="*/ 89 h 652"/>
                  <a:gd name="T50" fmla="*/ 286 w 474"/>
                  <a:gd name="T51" fmla="*/ 98 h 652"/>
                  <a:gd name="T52" fmla="*/ 295 w 474"/>
                  <a:gd name="T53" fmla="*/ 98 h 652"/>
                  <a:gd name="T54" fmla="*/ 295 w 474"/>
                  <a:gd name="T55" fmla="*/ 107 h 652"/>
                  <a:gd name="T56" fmla="*/ 295 w 474"/>
                  <a:gd name="T57" fmla="*/ 125 h 652"/>
                  <a:gd name="T58" fmla="*/ 304 w 474"/>
                  <a:gd name="T59" fmla="*/ 125 h 652"/>
                  <a:gd name="T60" fmla="*/ 313 w 474"/>
                  <a:gd name="T61" fmla="*/ 116 h 652"/>
                  <a:gd name="T62" fmla="*/ 322 w 474"/>
                  <a:gd name="T63" fmla="*/ 116 h 652"/>
                  <a:gd name="T64" fmla="*/ 331 w 474"/>
                  <a:gd name="T65" fmla="*/ 116 h 652"/>
                  <a:gd name="T66" fmla="*/ 340 w 474"/>
                  <a:gd name="T67" fmla="*/ 134 h 652"/>
                  <a:gd name="T68" fmla="*/ 340 w 474"/>
                  <a:gd name="T69" fmla="*/ 143 h 652"/>
                  <a:gd name="T70" fmla="*/ 349 w 474"/>
                  <a:gd name="T71" fmla="*/ 152 h 652"/>
                  <a:gd name="T72" fmla="*/ 357 w 474"/>
                  <a:gd name="T73" fmla="*/ 160 h 652"/>
                  <a:gd name="T74" fmla="*/ 375 w 474"/>
                  <a:gd name="T75" fmla="*/ 160 h 652"/>
                  <a:gd name="T76" fmla="*/ 384 w 474"/>
                  <a:gd name="T77" fmla="*/ 169 h 652"/>
                  <a:gd name="T78" fmla="*/ 393 w 474"/>
                  <a:gd name="T79" fmla="*/ 178 h 652"/>
                  <a:gd name="T80" fmla="*/ 402 w 474"/>
                  <a:gd name="T81" fmla="*/ 196 h 652"/>
                  <a:gd name="T82" fmla="*/ 402 w 474"/>
                  <a:gd name="T83" fmla="*/ 205 h 652"/>
                  <a:gd name="T84" fmla="*/ 402 w 474"/>
                  <a:gd name="T85" fmla="*/ 214 h 652"/>
                  <a:gd name="T86" fmla="*/ 402 w 474"/>
                  <a:gd name="T87" fmla="*/ 223 h 652"/>
                  <a:gd name="T88" fmla="*/ 411 w 474"/>
                  <a:gd name="T89" fmla="*/ 232 h 652"/>
                  <a:gd name="T90" fmla="*/ 429 w 474"/>
                  <a:gd name="T91" fmla="*/ 232 h 652"/>
                  <a:gd name="T92" fmla="*/ 447 w 474"/>
                  <a:gd name="T93" fmla="*/ 232 h 652"/>
                  <a:gd name="T94" fmla="*/ 456 w 474"/>
                  <a:gd name="T95" fmla="*/ 241 h 652"/>
                  <a:gd name="T96" fmla="*/ 456 w 474"/>
                  <a:gd name="T97" fmla="*/ 241 h 652"/>
                  <a:gd name="T98" fmla="*/ 465 w 474"/>
                  <a:gd name="T99" fmla="*/ 250 h 652"/>
                  <a:gd name="T100" fmla="*/ 465 w 474"/>
                  <a:gd name="T101" fmla="*/ 250 h 652"/>
                  <a:gd name="T102" fmla="*/ 474 w 474"/>
                  <a:gd name="T103" fmla="*/ 250 h 652"/>
                  <a:gd name="T104" fmla="*/ 474 w 474"/>
                  <a:gd name="T105" fmla="*/ 268 h 652"/>
                  <a:gd name="T106" fmla="*/ 474 w 474"/>
                  <a:gd name="T107" fmla="*/ 277 h 652"/>
                  <a:gd name="T108" fmla="*/ 429 w 474"/>
                  <a:gd name="T109" fmla="*/ 294 h 652"/>
                  <a:gd name="T110" fmla="*/ 375 w 474"/>
                  <a:gd name="T111" fmla="*/ 375 h 652"/>
                  <a:gd name="T112" fmla="*/ 340 w 474"/>
                  <a:gd name="T113" fmla="*/ 473 h 652"/>
                  <a:gd name="T114" fmla="*/ 277 w 474"/>
                  <a:gd name="T115" fmla="*/ 544 h 652"/>
                  <a:gd name="T116" fmla="*/ 250 w 474"/>
                  <a:gd name="T117" fmla="*/ 607 h 652"/>
                  <a:gd name="T118" fmla="*/ 215 w 474"/>
                  <a:gd name="T119" fmla="*/ 652 h 65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</a:cxnLst>
                <a:rect l="0" t="0" r="r" b="b"/>
                <a:pathLst>
                  <a:path w="474" h="652">
                    <a:moveTo>
                      <a:pt x="197" y="634"/>
                    </a:moveTo>
                    <a:lnTo>
                      <a:pt x="188" y="616"/>
                    </a:lnTo>
                    <a:lnTo>
                      <a:pt x="188" y="598"/>
                    </a:lnTo>
                    <a:lnTo>
                      <a:pt x="188" y="580"/>
                    </a:lnTo>
                    <a:lnTo>
                      <a:pt x="179" y="562"/>
                    </a:lnTo>
                    <a:lnTo>
                      <a:pt x="161" y="553"/>
                    </a:lnTo>
                    <a:lnTo>
                      <a:pt x="143" y="535"/>
                    </a:lnTo>
                    <a:lnTo>
                      <a:pt x="143" y="527"/>
                    </a:lnTo>
                    <a:lnTo>
                      <a:pt x="143" y="500"/>
                    </a:lnTo>
                    <a:lnTo>
                      <a:pt x="134" y="491"/>
                    </a:lnTo>
                    <a:lnTo>
                      <a:pt x="116" y="482"/>
                    </a:lnTo>
                    <a:lnTo>
                      <a:pt x="98" y="482"/>
                    </a:lnTo>
                    <a:lnTo>
                      <a:pt x="89" y="473"/>
                    </a:lnTo>
                    <a:lnTo>
                      <a:pt x="72" y="464"/>
                    </a:lnTo>
                    <a:lnTo>
                      <a:pt x="54" y="455"/>
                    </a:lnTo>
                    <a:lnTo>
                      <a:pt x="54" y="437"/>
                    </a:lnTo>
                    <a:lnTo>
                      <a:pt x="54" y="410"/>
                    </a:lnTo>
                    <a:lnTo>
                      <a:pt x="63" y="384"/>
                    </a:lnTo>
                    <a:lnTo>
                      <a:pt x="72" y="375"/>
                    </a:lnTo>
                    <a:lnTo>
                      <a:pt x="81" y="375"/>
                    </a:lnTo>
                    <a:lnTo>
                      <a:pt x="81" y="366"/>
                    </a:lnTo>
                    <a:lnTo>
                      <a:pt x="89" y="357"/>
                    </a:lnTo>
                    <a:lnTo>
                      <a:pt x="98" y="339"/>
                    </a:lnTo>
                    <a:lnTo>
                      <a:pt x="98" y="312"/>
                    </a:lnTo>
                    <a:lnTo>
                      <a:pt x="98" y="294"/>
                    </a:lnTo>
                    <a:lnTo>
                      <a:pt x="81" y="277"/>
                    </a:lnTo>
                    <a:lnTo>
                      <a:pt x="72" y="268"/>
                    </a:lnTo>
                    <a:lnTo>
                      <a:pt x="63" y="268"/>
                    </a:lnTo>
                    <a:lnTo>
                      <a:pt x="54" y="259"/>
                    </a:lnTo>
                    <a:lnTo>
                      <a:pt x="36" y="250"/>
                    </a:lnTo>
                    <a:lnTo>
                      <a:pt x="36" y="232"/>
                    </a:lnTo>
                    <a:lnTo>
                      <a:pt x="45" y="214"/>
                    </a:lnTo>
                    <a:lnTo>
                      <a:pt x="36" y="214"/>
                    </a:lnTo>
                    <a:lnTo>
                      <a:pt x="27" y="214"/>
                    </a:lnTo>
                    <a:lnTo>
                      <a:pt x="18" y="205"/>
                    </a:lnTo>
                    <a:lnTo>
                      <a:pt x="18" y="196"/>
                    </a:lnTo>
                    <a:lnTo>
                      <a:pt x="18" y="187"/>
                    </a:lnTo>
                    <a:lnTo>
                      <a:pt x="9" y="178"/>
                    </a:lnTo>
                    <a:lnTo>
                      <a:pt x="18" y="169"/>
                    </a:lnTo>
                    <a:lnTo>
                      <a:pt x="9" y="160"/>
                    </a:lnTo>
                    <a:lnTo>
                      <a:pt x="0" y="160"/>
                    </a:lnTo>
                    <a:lnTo>
                      <a:pt x="0" y="143"/>
                    </a:lnTo>
                    <a:lnTo>
                      <a:pt x="9" y="143"/>
                    </a:lnTo>
                    <a:lnTo>
                      <a:pt x="27" y="143"/>
                    </a:lnTo>
                    <a:lnTo>
                      <a:pt x="45" y="143"/>
                    </a:lnTo>
                    <a:lnTo>
                      <a:pt x="54" y="134"/>
                    </a:lnTo>
                    <a:lnTo>
                      <a:pt x="63" y="125"/>
                    </a:lnTo>
                    <a:lnTo>
                      <a:pt x="81" y="125"/>
                    </a:lnTo>
                    <a:lnTo>
                      <a:pt x="81" y="143"/>
                    </a:lnTo>
                    <a:lnTo>
                      <a:pt x="98" y="143"/>
                    </a:lnTo>
                    <a:lnTo>
                      <a:pt x="116" y="143"/>
                    </a:lnTo>
                    <a:lnTo>
                      <a:pt x="125" y="134"/>
                    </a:lnTo>
                    <a:lnTo>
                      <a:pt x="143" y="107"/>
                    </a:lnTo>
                    <a:lnTo>
                      <a:pt x="143" y="89"/>
                    </a:lnTo>
                    <a:lnTo>
                      <a:pt x="143" y="62"/>
                    </a:lnTo>
                    <a:lnTo>
                      <a:pt x="143" y="53"/>
                    </a:lnTo>
                    <a:lnTo>
                      <a:pt x="143" y="35"/>
                    </a:lnTo>
                    <a:lnTo>
                      <a:pt x="161" y="26"/>
                    </a:lnTo>
                    <a:lnTo>
                      <a:pt x="179" y="26"/>
                    </a:lnTo>
                    <a:lnTo>
                      <a:pt x="179" y="18"/>
                    </a:lnTo>
                    <a:lnTo>
                      <a:pt x="188" y="18"/>
                    </a:lnTo>
                    <a:lnTo>
                      <a:pt x="197" y="9"/>
                    </a:lnTo>
                    <a:lnTo>
                      <a:pt x="197" y="9"/>
                    </a:lnTo>
                    <a:lnTo>
                      <a:pt x="197" y="9"/>
                    </a:lnTo>
                    <a:lnTo>
                      <a:pt x="197" y="0"/>
                    </a:lnTo>
                    <a:lnTo>
                      <a:pt x="197" y="0"/>
                    </a:lnTo>
                    <a:lnTo>
                      <a:pt x="197" y="0"/>
                    </a:lnTo>
                    <a:lnTo>
                      <a:pt x="197" y="0"/>
                    </a:lnTo>
                    <a:lnTo>
                      <a:pt x="197" y="0"/>
                    </a:lnTo>
                    <a:lnTo>
                      <a:pt x="197" y="0"/>
                    </a:lnTo>
                    <a:lnTo>
                      <a:pt x="206" y="0"/>
                    </a:lnTo>
                    <a:lnTo>
                      <a:pt x="206" y="0"/>
                    </a:lnTo>
                    <a:lnTo>
                      <a:pt x="206" y="0"/>
                    </a:lnTo>
                    <a:lnTo>
                      <a:pt x="206" y="0"/>
                    </a:lnTo>
                    <a:lnTo>
                      <a:pt x="206" y="0"/>
                    </a:lnTo>
                    <a:lnTo>
                      <a:pt x="215" y="0"/>
                    </a:lnTo>
                    <a:lnTo>
                      <a:pt x="215" y="0"/>
                    </a:lnTo>
                    <a:lnTo>
                      <a:pt x="215" y="0"/>
                    </a:lnTo>
                    <a:lnTo>
                      <a:pt x="215" y="0"/>
                    </a:lnTo>
                    <a:lnTo>
                      <a:pt x="215" y="0"/>
                    </a:lnTo>
                    <a:lnTo>
                      <a:pt x="215" y="0"/>
                    </a:lnTo>
                    <a:lnTo>
                      <a:pt x="215" y="9"/>
                    </a:lnTo>
                    <a:lnTo>
                      <a:pt x="215" y="9"/>
                    </a:lnTo>
                    <a:lnTo>
                      <a:pt x="215" y="9"/>
                    </a:lnTo>
                    <a:lnTo>
                      <a:pt x="215" y="9"/>
                    </a:lnTo>
                    <a:lnTo>
                      <a:pt x="215" y="18"/>
                    </a:lnTo>
                    <a:lnTo>
                      <a:pt x="215" y="18"/>
                    </a:lnTo>
                    <a:lnTo>
                      <a:pt x="215" y="18"/>
                    </a:lnTo>
                    <a:lnTo>
                      <a:pt x="215" y="18"/>
                    </a:lnTo>
                    <a:lnTo>
                      <a:pt x="215" y="26"/>
                    </a:lnTo>
                    <a:lnTo>
                      <a:pt x="215" y="26"/>
                    </a:lnTo>
                    <a:lnTo>
                      <a:pt x="215" y="26"/>
                    </a:lnTo>
                    <a:lnTo>
                      <a:pt x="215" y="35"/>
                    </a:lnTo>
                    <a:lnTo>
                      <a:pt x="215" y="35"/>
                    </a:lnTo>
                    <a:lnTo>
                      <a:pt x="215" y="35"/>
                    </a:lnTo>
                    <a:lnTo>
                      <a:pt x="215" y="35"/>
                    </a:lnTo>
                    <a:lnTo>
                      <a:pt x="223" y="44"/>
                    </a:lnTo>
                    <a:lnTo>
                      <a:pt x="223" y="44"/>
                    </a:lnTo>
                    <a:lnTo>
                      <a:pt x="223" y="44"/>
                    </a:lnTo>
                    <a:lnTo>
                      <a:pt x="223" y="44"/>
                    </a:lnTo>
                    <a:lnTo>
                      <a:pt x="223" y="53"/>
                    </a:lnTo>
                    <a:lnTo>
                      <a:pt x="223" y="53"/>
                    </a:lnTo>
                    <a:lnTo>
                      <a:pt x="223" y="53"/>
                    </a:lnTo>
                    <a:lnTo>
                      <a:pt x="223" y="53"/>
                    </a:lnTo>
                    <a:lnTo>
                      <a:pt x="232" y="53"/>
                    </a:lnTo>
                    <a:lnTo>
                      <a:pt x="232" y="53"/>
                    </a:lnTo>
                    <a:lnTo>
                      <a:pt x="232" y="44"/>
                    </a:lnTo>
                    <a:lnTo>
                      <a:pt x="232" y="44"/>
                    </a:lnTo>
                    <a:lnTo>
                      <a:pt x="241" y="44"/>
                    </a:lnTo>
                    <a:lnTo>
                      <a:pt x="241" y="44"/>
                    </a:lnTo>
                    <a:lnTo>
                      <a:pt x="241" y="44"/>
                    </a:lnTo>
                    <a:lnTo>
                      <a:pt x="241" y="53"/>
                    </a:lnTo>
                    <a:lnTo>
                      <a:pt x="241" y="53"/>
                    </a:lnTo>
                    <a:lnTo>
                      <a:pt x="241" y="53"/>
                    </a:lnTo>
                    <a:lnTo>
                      <a:pt x="241" y="53"/>
                    </a:lnTo>
                    <a:lnTo>
                      <a:pt x="241" y="53"/>
                    </a:lnTo>
                    <a:lnTo>
                      <a:pt x="241" y="53"/>
                    </a:lnTo>
                    <a:lnTo>
                      <a:pt x="241" y="53"/>
                    </a:lnTo>
                    <a:lnTo>
                      <a:pt x="241" y="62"/>
                    </a:lnTo>
                    <a:lnTo>
                      <a:pt x="241" y="62"/>
                    </a:lnTo>
                    <a:lnTo>
                      <a:pt x="241" y="62"/>
                    </a:lnTo>
                    <a:lnTo>
                      <a:pt x="241" y="71"/>
                    </a:lnTo>
                    <a:lnTo>
                      <a:pt x="241" y="71"/>
                    </a:lnTo>
                    <a:lnTo>
                      <a:pt x="241" y="71"/>
                    </a:lnTo>
                    <a:lnTo>
                      <a:pt x="241" y="80"/>
                    </a:lnTo>
                    <a:lnTo>
                      <a:pt x="241" y="80"/>
                    </a:lnTo>
                    <a:lnTo>
                      <a:pt x="241" y="80"/>
                    </a:lnTo>
                    <a:lnTo>
                      <a:pt x="241" y="80"/>
                    </a:lnTo>
                    <a:lnTo>
                      <a:pt x="241" y="80"/>
                    </a:lnTo>
                    <a:lnTo>
                      <a:pt x="241" y="89"/>
                    </a:lnTo>
                    <a:lnTo>
                      <a:pt x="241" y="89"/>
                    </a:lnTo>
                    <a:lnTo>
                      <a:pt x="241" y="89"/>
                    </a:lnTo>
                    <a:lnTo>
                      <a:pt x="241" y="89"/>
                    </a:lnTo>
                    <a:lnTo>
                      <a:pt x="241" y="89"/>
                    </a:lnTo>
                    <a:lnTo>
                      <a:pt x="250" y="89"/>
                    </a:lnTo>
                    <a:lnTo>
                      <a:pt x="250" y="89"/>
                    </a:lnTo>
                    <a:lnTo>
                      <a:pt x="250" y="89"/>
                    </a:lnTo>
                    <a:lnTo>
                      <a:pt x="250" y="89"/>
                    </a:lnTo>
                    <a:lnTo>
                      <a:pt x="259" y="89"/>
                    </a:lnTo>
                    <a:lnTo>
                      <a:pt x="259" y="89"/>
                    </a:lnTo>
                    <a:lnTo>
                      <a:pt x="259" y="89"/>
                    </a:lnTo>
                    <a:lnTo>
                      <a:pt x="259" y="89"/>
                    </a:lnTo>
                    <a:lnTo>
                      <a:pt x="259" y="89"/>
                    </a:lnTo>
                    <a:lnTo>
                      <a:pt x="268" y="89"/>
                    </a:lnTo>
                    <a:lnTo>
                      <a:pt x="268" y="89"/>
                    </a:lnTo>
                    <a:lnTo>
                      <a:pt x="268" y="89"/>
                    </a:lnTo>
                    <a:lnTo>
                      <a:pt x="268" y="89"/>
                    </a:lnTo>
                    <a:lnTo>
                      <a:pt x="268" y="89"/>
                    </a:lnTo>
                    <a:lnTo>
                      <a:pt x="268" y="89"/>
                    </a:lnTo>
                    <a:lnTo>
                      <a:pt x="268" y="89"/>
                    </a:lnTo>
                    <a:lnTo>
                      <a:pt x="277" y="89"/>
                    </a:lnTo>
                    <a:lnTo>
                      <a:pt x="277" y="89"/>
                    </a:lnTo>
                    <a:lnTo>
                      <a:pt x="277" y="89"/>
                    </a:lnTo>
                    <a:lnTo>
                      <a:pt x="277" y="89"/>
                    </a:lnTo>
                    <a:lnTo>
                      <a:pt x="286" y="98"/>
                    </a:lnTo>
                    <a:lnTo>
                      <a:pt x="286" y="98"/>
                    </a:lnTo>
                    <a:lnTo>
                      <a:pt x="286" y="98"/>
                    </a:lnTo>
                    <a:lnTo>
                      <a:pt x="286" y="98"/>
                    </a:lnTo>
                    <a:lnTo>
                      <a:pt x="286" y="98"/>
                    </a:lnTo>
                    <a:lnTo>
                      <a:pt x="295" y="98"/>
                    </a:lnTo>
                    <a:lnTo>
                      <a:pt x="295" y="98"/>
                    </a:lnTo>
                    <a:lnTo>
                      <a:pt x="295" y="98"/>
                    </a:lnTo>
                    <a:lnTo>
                      <a:pt x="295" y="98"/>
                    </a:lnTo>
                    <a:lnTo>
                      <a:pt x="295" y="107"/>
                    </a:lnTo>
                    <a:lnTo>
                      <a:pt x="295" y="107"/>
                    </a:lnTo>
                    <a:lnTo>
                      <a:pt x="295" y="107"/>
                    </a:lnTo>
                    <a:lnTo>
                      <a:pt x="295" y="107"/>
                    </a:lnTo>
                    <a:lnTo>
                      <a:pt x="295" y="107"/>
                    </a:lnTo>
                    <a:lnTo>
                      <a:pt x="295" y="116"/>
                    </a:lnTo>
                    <a:lnTo>
                      <a:pt x="295" y="116"/>
                    </a:lnTo>
                    <a:lnTo>
                      <a:pt x="295" y="116"/>
                    </a:lnTo>
                    <a:lnTo>
                      <a:pt x="295" y="116"/>
                    </a:lnTo>
                    <a:lnTo>
                      <a:pt x="295" y="116"/>
                    </a:lnTo>
                    <a:lnTo>
                      <a:pt x="295" y="125"/>
                    </a:lnTo>
                    <a:lnTo>
                      <a:pt x="295" y="125"/>
                    </a:lnTo>
                    <a:lnTo>
                      <a:pt x="295" y="125"/>
                    </a:lnTo>
                    <a:lnTo>
                      <a:pt x="304" y="125"/>
                    </a:lnTo>
                    <a:lnTo>
                      <a:pt x="304" y="125"/>
                    </a:lnTo>
                    <a:lnTo>
                      <a:pt x="304" y="125"/>
                    </a:lnTo>
                    <a:lnTo>
                      <a:pt x="304" y="125"/>
                    </a:lnTo>
                    <a:lnTo>
                      <a:pt x="304" y="116"/>
                    </a:lnTo>
                    <a:lnTo>
                      <a:pt x="304" y="116"/>
                    </a:lnTo>
                    <a:lnTo>
                      <a:pt x="313" y="116"/>
                    </a:lnTo>
                    <a:lnTo>
                      <a:pt x="313" y="116"/>
                    </a:lnTo>
                    <a:lnTo>
                      <a:pt x="313" y="116"/>
                    </a:lnTo>
                    <a:lnTo>
                      <a:pt x="313" y="116"/>
                    </a:lnTo>
                    <a:lnTo>
                      <a:pt x="313" y="116"/>
                    </a:lnTo>
                    <a:lnTo>
                      <a:pt x="313" y="116"/>
                    </a:lnTo>
                    <a:lnTo>
                      <a:pt x="322" y="116"/>
                    </a:lnTo>
                    <a:lnTo>
                      <a:pt x="322" y="116"/>
                    </a:lnTo>
                    <a:lnTo>
                      <a:pt x="322" y="116"/>
                    </a:lnTo>
                    <a:lnTo>
                      <a:pt x="322" y="116"/>
                    </a:lnTo>
                    <a:lnTo>
                      <a:pt x="322" y="116"/>
                    </a:lnTo>
                    <a:lnTo>
                      <a:pt x="331" y="116"/>
                    </a:lnTo>
                    <a:lnTo>
                      <a:pt x="331" y="116"/>
                    </a:lnTo>
                    <a:lnTo>
                      <a:pt x="331" y="116"/>
                    </a:lnTo>
                    <a:lnTo>
                      <a:pt x="331" y="116"/>
                    </a:lnTo>
                    <a:lnTo>
                      <a:pt x="331" y="116"/>
                    </a:lnTo>
                    <a:lnTo>
                      <a:pt x="331" y="116"/>
                    </a:lnTo>
                    <a:lnTo>
                      <a:pt x="331" y="125"/>
                    </a:lnTo>
                    <a:lnTo>
                      <a:pt x="331" y="125"/>
                    </a:lnTo>
                    <a:lnTo>
                      <a:pt x="340" y="125"/>
                    </a:lnTo>
                    <a:lnTo>
                      <a:pt x="340" y="125"/>
                    </a:lnTo>
                    <a:lnTo>
                      <a:pt x="340" y="134"/>
                    </a:lnTo>
                    <a:lnTo>
                      <a:pt x="340" y="134"/>
                    </a:lnTo>
                    <a:lnTo>
                      <a:pt x="340" y="134"/>
                    </a:lnTo>
                    <a:lnTo>
                      <a:pt x="340" y="134"/>
                    </a:lnTo>
                    <a:lnTo>
                      <a:pt x="340" y="143"/>
                    </a:lnTo>
                    <a:lnTo>
                      <a:pt x="340" y="143"/>
                    </a:lnTo>
                    <a:lnTo>
                      <a:pt x="340" y="143"/>
                    </a:lnTo>
                    <a:lnTo>
                      <a:pt x="340" y="143"/>
                    </a:lnTo>
                    <a:lnTo>
                      <a:pt x="340" y="152"/>
                    </a:lnTo>
                    <a:lnTo>
                      <a:pt x="349" y="152"/>
                    </a:lnTo>
                    <a:lnTo>
                      <a:pt x="349" y="152"/>
                    </a:lnTo>
                    <a:lnTo>
                      <a:pt x="349" y="152"/>
                    </a:lnTo>
                    <a:lnTo>
                      <a:pt x="349" y="152"/>
                    </a:lnTo>
                    <a:lnTo>
                      <a:pt x="349" y="152"/>
                    </a:lnTo>
                    <a:lnTo>
                      <a:pt x="349" y="152"/>
                    </a:lnTo>
                    <a:lnTo>
                      <a:pt x="357" y="152"/>
                    </a:lnTo>
                    <a:lnTo>
                      <a:pt x="357" y="152"/>
                    </a:lnTo>
                    <a:lnTo>
                      <a:pt x="357" y="152"/>
                    </a:lnTo>
                    <a:lnTo>
                      <a:pt x="357" y="160"/>
                    </a:lnTo>
                    <a:lnTo>
                      <a:pt x="357" y="160"/>
                    </a:lnTo>
                    <a:lnTo>
                      <a:pt x="366" y="160"/>
                    </a:lnTo>
                    <a:lnTo>
                      <a:pt x="366" y="160"/>
                    </a:lnTo>
                    <a:lnTo>
                      <a:pt x="366" y="160"/>
                    </a:lnTo>
                    <a:lnTo>
                      <a:pt x="366" y="160"/>
                    </a:lnTo>
                    <a:lnTo>
                      <a:pt x="375" y="160"/>
                    </a:lnTo>
                    <a:lnTo>
                      <a:pt x="375" y="160"/>
                    </a:lnTo>
                    <a:lnTo>
                      <a:pt x="375" y="160"/>
                    </a:lnTo>
                    <a:lnTo>
                      <a:pt x="375" y="160"/>
                    </a:lnTo>
                    <a:lnTo>
                      <a:pt x="375" y="169"/>
                    </a:lnTo>
                    <a:lnTo>
                      <a:pt x="384" y="169"/>
                    </a:lnTo>
                    <a:lnTo>
                      <a:pt x="384" y="169"/>
                    </a:lnTo>
                    <a:lnTo>
                      <a:pt x="384" y="169"/>
                    </a:lnTo>
                    <a:lnTo>
                      <a:pt x="384" y="169"/>
                    </a:lnTo>
                    <a:lnTo>
                      <a:pt x="384" y="178"/>
                    </a:lnTo>
                    <a:lnTo>
                      <a:pt x="393" y="178"/>
                    </a:lnTo>
                    <a:lnTo>
                      <a:pt x="393" y="178"/>
                    </a:lnTo>
                    <a:lnTo>
                      <a:pt x="393" y="178"/>
                    </a:lnTo>
                    <a:lnTo>
                      <a:pt x="393" y="187"/>
                    </a:lnTo>
                    <a:lnTo>
                      <a:pt x="393" y="187"/>
                    </a:lnTo>
                    <a:lnTo>
                      <a:pt x="393" y="187"/>
                    </a:lnTo>
                    <a:lnTo>
                      <a:pt x="393" y="187"/>
                    </a:lnTo>
                    <a:lnTo>
                      <a:pt x="393" y="187"/>
                    </a:lnTo>
                    <a:lnTo>
                      <a:pt x="402" y="196"/>
                    </a:lnTo>
                    <a:lnTo>
                      <a:pt x="402" y="196"/>
                    </a:lnTo>
                    <a:lnTo>
                      <a:pt x="402" y="196"/>
                    </a:lnTo>
                    <a:lnTo>
                      <a:pt x="402" y="196"/>
                    </a:lnTo>
                    <a:lnTo>
                      <a:pt x="402" y="196"/>
                    </a:lnTo>
                    <a:lnTo>
                      <a:pt x="402" y="205"/>
                    </a:lnTo>
                    <a:lnTo>
                      <a:pt x="402" y="205"/>
                    </a:lnTo>
                    <a:lnTo>
                      <a:pt x="402" y="205"/>
                    </a:lnTo>
                    <a:lnTo>
                      <a:pt x="402" y="205"/>
                    </a:lnTo>
                    <a:lnTo>
                      <a:pt x="402" y="214"/>
                    </a:lnTo>
                    <a:lnTo>
                      <a:pt x="402" y="214"/>
                    </a:lnTo>
                    <a:lnTo>
                      <a:pt x="402" y="214"/>
                    </a:lnTo>
                    <a:lnTo>
                      <a:pt x="402" y="214"/>
                    </a:lnTo>
                    <a:lnTo>
                      <a:pt x="402" y="214"/>
                    </a:lnTo>
                    <a:lnTo>
                      <a:pt x="402" y="223"/>
                    </a:lnTo>
                    <a:lnTo>
                      <a:pt x="402" y="223"/>
                    </a:lnTo>
                    <a:lnTo>
                      <a:pt x="402" y="223"/>
                    </a:lnTo>
                    <a:lnTo>
                      <a:pt x="402" y="223"/>
                    </a:lnTo>
                    <a:lnTo>
                      <a:pt x="402" y="223"/>
                    </a:lnTo>
                    <a:lnTo>
                      <a:pt x="411" y="223"/>
                    </a:lnTo>
                    <a:lnTo>
                      <a:pt x="411" y="223"/>
                    </a:lnTo>
                    <a:lnTo>
                      <a:pt x="411" y="223"/>
                    </a:lnTo>
                    <a:lnTo>
                      <a:pt x="411" y="232"/>
                    </a:lnTo>
                    <a:lnTo>
                      <a:pt x="411" y="232"/>
                    </a:lnTo>
                    <a:lnTo>
                      <a:pt x="411" y="232"/>
                    </a:lnTo>
                    <a:lnTo>
                      <a:pt x="420" y="232"/>
                    </a:lnTo>
                    <a:lnTo>
                      <a:pt x="420" y="232"/>
                    </a:lnTo>
                    <a:lnTo>
                      <a:pt x="420" y="232"/>
                    </a:lnTo>
                    <a:lnTo>
                      <a:pt x="429" y="232"/>
                    </a:lnTo>
                    <a:lnTo>
                      <a:pt x="429" y="232"/>
                    </a:lnTo>
                    <a:lnTo>
                      <a:pt x="429" y="232"/>
                    </a:lnTo>
                    <a:lnTo>
                      <a:pt x="438" y="232"/>
                    </a:lnTo>
                    <a:lnTo>
                      <a:pt x="438" y="232"/>
                    </a:lnTo>
                    <a:lnTo>
                      <a:pt x="438" y="232"/>
                    </a:lnTo>
                    <a:lnTo>
                      <a:pt x="438" y="232"/>
                    </a:lnTo>
                    <a:lnTo>
                      <a:pt x="438" y="232"/>
                    </a:lnTo>
                    <a:lnTo>
                      <a:pt x="447" y="232"/>
                    </a:lnTo>
                    <a:lnTo>
                      <a:pt x="447" y="232"/>
                    </a:lnTo>
                    <a:lnTo>
                      <a:pt x="447" y="232"/>
                    </a:lnTo>
                    <a:lnTo>
                      <a:pt x="447" y="232"/>
                    </a:lnTo>
                    <a:lnTo>
                      <a:pt x="447" y="232"/>
                    </a:lnTo>
                    <a:lnTo>
                      <a:pt x="447" y="232"/>
                    </a:lnTo>
                    <a:lnTo>
                      <a:pt x="456" y="241"/>
                    </a:lnTo>
                    <a:lnTo>
                      <a:pt x="456" y="241"/>
                    </a:lnTo>
                    <a:lnTo>
                      <a:pt x="456" y="241"/>
                    </a:lnTo>
                    <a:lnTo>
                      <a:pt x="456" y="241"/>
                    </a:lnTo>
                    <a:lnTo>
                      <a:pt x="456" y="241"/>
                    </a:lnTo>
                    <a:lnTo>
                      <a:pt x="456" y="241"/>
                    </a:lnTo>
                    <a:lnTo>
                      <a:pt x="456" y="241"/>
                    </a:lnTo>
                    <a:lnTo>
                      <a:pt x="456" y="241"/>
                    </a:lnTo>
                    <a:lnTo>
                      <a:pt x="456" y="241"/>
                    </a:lnTo>
                    <a:lnTo>
                      <a:pt x="456" y="241"/>
                    </a:lnTo>
                    <a:lnTo>
                      <a:pt x="456" y="241"/>
                    </a:lnTo>
                    <a:lnTo>
                      <a:pt x="456" y="250"/>
                    </a:lnTo>
                    <a:lnTo>
                      <a:pt x="465" y="250"/>
                    </a:lnTo>
                    <a:lnTo>
                      <a:pt x="465" y="250"/>
                    </a:lnTo>
                    <a:lnTo>
                      <a:pt x="465" y="250"/>
                    </a:lnTo>
                    <a:lnTo>
                      <a:pt x="465" y="250"/>
                    </a:lnTo>
                    <a:lnTo>
                      <a:pt x="465" y="250"/>
                    </a:lnTo>
                    <a:lnTo>
                      <a:pt x="465" y="250"/>
                    </a:lnTo>
                    <a:lnTo>
                      <a:pt x="465" y="250"/>
                    </a:lnTo>
                    <a:lnTo>
                      <a:pt x="474" y="250"/>
                    </a:lnTo>
                    <a:lnTo>
                      <a:pt x="474" y="250"/>
                    </a:lnTo>
                    <a:lnTo>
                      <a:pt x="474" y="250"/>
                    </a:lnTo>
                    <a:lnTo>
                      <a:pt x="474" y="250"/>
                    </a:lnTo>
                    <a:lnTo>
                      <a:pt x="474" y="250"/>
                    </a:lnTo>
                    <a:lnTo>
                      <a:pt x="474" y="250"/>
                    </a:lnTo>
                    <a:lnTo>
                      <a:pt x="474" y="259"/>
                    </a:lnTo>
                    <a:lnTo>
                      <a:pt x="474" y="259"/>
                    </a:lnTo>
                    <a:lnTo>
                      <a:pt x="474" y="259"/>
                    </a:lnTo>
                    <a:lnTo>
                      <a:pt x="474" y="259"/>
                    </a:lnTo>
                    <a:lnTo>
                      <a:pt x="474" y="259"/>
                    </a:lnTo>
                    <a:lnTo>
                      <a:pt x="474" y="268"/>
                    </a:lnTo>
                    <a:lnTo>
                      <a:pt x="474" y="268"/>
                    </a:lnTo>
                    <a:lnTo>
                      <a:pt x="474" y="268"/>
                    </a:lnTo>
                    <a:lnTo>
                      <a:pt x="474" y="268"/>
                    </a:lnTo>
                    <a:lnTo>
                      <a:pt x="474" y="268"/>
                    </a:lnTo>
                    <a:lnTo>
                      <a:pt x="474" y="277"/>
                    </a:lnTo>
                    <a:lnTo>
                      <a:pt x="474" y="277"/>
                    </a:lnTo>
                    <a:lnTo>
                      <a:pt x="474" y="277"/>
                    </a:lnTo>
                    <a:lnTo>
                      <a:pt x="474" y="277"/>
                    </a:lnTo>
                    <a:lnTo>
                      <a:pt x="474" y="277"/>
                    </a:lnTo>
                    <a:lnTo>
                      <a:pt x="456" y="285"/>
                    </a:lnTo>
                    <a:lnTo>
                      <a:pt x="438" y="285"/>
                    </a:lnTo>
                    <a:lnTo>
                      <a:pt x="429" y="294"/>
                    </a:lnTo>
                    <a:lnTo>
                      <a:pt x="429" y="312"/>
                    </a:lnTo>
                    <a:lnTo>
                      <a:pt x="411" y="321"/>
                    </a:lnTo>
                    <a:lnTo>
                      <a:pt x="384" y="321"/>
                    </a:lnTo>
                    <a:lnTo>
                      <a:pt x="384" y="339"/>
                    </a:lnTo>
                    <a:lnTo>
                      <a:pt x="366" y="339"/>
                    </a:lnTo>
                    <a:lnTo>
                      <a:pt x="375" y="375"/>
                    </a:lnTo>
                    <a:lnTo>
                      <a:pt x="375" y="393"/>
                    </a:lnTo>
                    <a:lnTo>
                      <a:pt x="357" y="402"/>
                    </a:lnTo>
                    <a:lnTo>
                      <a:pt x="331" y="402"/>
                    </a:lnTo>
                    <a:lnTo>
                      <a:pt x="331" y="428"/>
                    </a:lnTo>
                    <a:lnTo>
                      <a:pt x="331" y="455"/>
                    </a:lnTo>
                    <a:lnTo>
                      <a:pt x="340" y="473"/>
                    </a:lnTo>
                    <a:lnTo>
                      <a:pt x="331" y="491"/>
                    </a:lnTo>
                    <a:lnTo>
                      <a:pt x="304" y="500"/>
                    </a:lnTo>
                    <a:lnTo>
                      <a:pt x="286" y="509"/>
                    </a:lnTo>
                    <a:lnTo>
                      <a:pt x="277" y="518"/>
                    </a:lnTo>
                    <a:lnTo>
                      <a:pt x="268" y="527"/>
                    </a:lnTo>
                    <a:lnTo>
                      <a:pt x="277" y="544"/>
                    </a:lnTo>
                    <a:lnTo>
                      <a:pt x="286" y="562"/>
                    </a:lnTo>
                    <a:lnTo>
                      <a:pt x="286" y="580"/>
                    </a:lnTo>
                    <a:lnTo>
                      <a:pt x="286" y="607"/>
                    </a:lnTo>
                    <a:lnTo>
                      <a:pt x="277" y="616"/>
                    </a:lnTo>
                    <a:lnTo>
                      <a:pt x="268" y="616"/>
                    </a:lnTo>
                    <a:lnTo>
                      <a:pt x="250" y="607"/>
                    </a:lnTo>
                    <a:lnTo>
                      <a:pt x="241" y="616"/>
                    </a:lnTo>
                    <a:lnTo>
                      <a:pt x="241" y="625"/>
                    </a:lnTo>
                    <a:lnTo>
                      <a:pt x="241" y="643"/>
                    </a:lnTo>
                    <a:lnTo>
                      <a:pt x="241" y="652"/>
                    </a:lnTo>
                    <a:lnTo>
                      <a:pt x="232" y="652"/>
                    </a:lnTo>
                    <a:lnTo>
                      <a:pt x="215" y="652"/>
                    </a:lnTo>
                    <a:lnTo>
                      <a:pt x="215" y="643"/>
                    </a:lnTo>
                    <a:lnTo>
                      <a:pt x="206" y="634"/>
                    </a:lnTo>
                    <a:lnTo>
                      <a:pt x="197" y="634"/>
                    </a:lnTo>
                  </a:path>
                </a:pathLst>
              </a:custGeom>
              <a:solidFill>
                <a:schemeClr val="accent6">
                  <a:lumMod val="75000"/>
                </a:schemeClr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38" name="Freeform 61">
                <a:extLst>
                  <a:ext uri="{FF2B5EF4-FFF2-40B4-BE49-F238E27FC236}">
                    <a16:creationId xmlns:a16="http://schemas.microsoft.com/office/drawing/2014/main" id="{00000000-0008-0000-0C00-000026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147" y="9784"/>
                <a:ext cx="2025" cy="3113"/>
              </a:xfrm>
              <a:custGeom>
                <a:avLst/>
                <a:gdLst>
                  <a:gd name="T0" fmla="*/ 661 w 912"/>
                  <a:gd name="T1" fmla="*/ 187 h 1312"/>
                  <a:gd name="T2" fmla="*/ 644 w 912"/>
                  <a:gd name="T3" fmla="*/ 241 h 1312"/>
                  <a:gd name="T4" fmla="*/ 608 w 912"/>
                  <a:gd name="T5" fmla="*/ 285 h 1312"/>
                  <a:gd name="T6" fmla="*/ 635 w 912"/>
                  <a:gd name="T7" fmla="*/ 321 h 1312"/>
                  <a:gd name="T8" fmla="*/ 688 w 912"/>
                  <a:gd name="T9" fmla="*/ 366 h 1312"/>
                  <a:gd name="T10" fmla="*/ 697 w 912"/>
                  <a:gd name="T11" fmla="*/ 428 h 1312"/>
                  <a:gd name="T12" fmla="*/ 706 w 912"/>
                  <a:gd name="T13" fmla="*/ 509 h 1312"/>
                  <a:gd name="T14" fmla="*/ 724 w 912"/>
                  <a:gd name="T15" fmla="*/ 571 h 1312"/>
                  <a:gd name="T16" fmla="*/ 733 w 912"/>
                  <a:gd name="T17" fmla="*/ 660 h 1312"/>
                  <a:gd name="T18" fmla="*/ 733 w 912"/>
                  <a:gd name="T19" fmla="*/ 741 h 1312"/>
                  <a:gd name="T20" fmla="*/ 733 w 912"/>
                  <a:gd name="T21" fmla="*/ 821 h 1312"/>
                  <a:gd name="T22" fmla="*/ 697 w 912"/>
                  <a:gd name="T23" fmla="*/ 848 h 1312"/>
                  <a:gd name="T24" fmla="*/ 697 w 912"/>
                  <a:gd name="T25" fmla="*/ 884 h 1312"/>
                  <a:gd name="T26" fmla="*/ 733 w 912"/>
                  <a:gd name="T27" fmla="*/ 901 h 1312"/>
                  <a:gd name="T28" fmla="*/ 697 w 912"/>
                  <a:gd name="T29" fmla="*/ 946 h 1312"/>
                  <a:gd name="T30" fmla="*/ 688 w 912"/>
                  <a:gd name="T31" fmla="*/ 1000 h 1312"/>
                  <a:gd name="T32" fmla="*/ 724 w 912"/>
                  <a:gd name="T33" fmla="*/ 973 h 1312"/>
                  <a:gd name="T34" fmla="*/ 733 w 912"/>
                  <a:gd name="T35" fmla="*/ 982 h 1312"/>
                  <a:gd name="T36" fmla="*/ 751 w 912"/>
                  <a:gd name="T37" fmla="*/ 1026 h 1312"/>
                  <a:gd name="T38" fmla="*/ 778 w 912"/>
                  <a:gd name="T39" fmla="*/ 1018 h 1312"/>
                  <a:gd name="T40" fmla="*/ 795 w 912"/>
                  <a:gd name="T41" fmla="*/ 1044 h 1312"/>
                  <a:gd name="T42" fmla="*/ 831 w 912"/>
                  <a:gd name="T43" fmla="*/ 1080 h 1312"/>
                  <a:gd name="T44" fmla="*/ 867 w 912"/>
                  <a:gd name="T45" fmla="*/ 1089 h 1312"/>
                  <a:gd name="T46" fmla="*/ 876 w 912"/>
                  <a:gd name="T47" fmla="*/ 1116 h 1312"/>
                  <a:gd name="T48" fmla="*/ 912 w 912"/>
                  <a:gd name="T49" fmla="*/ 1125 h 1312"/>
                  <a:gd name="T50" fmla="*/ 903 w 912"/>
                  <a:gd name="T51" fmla="*/ 1160 h 1312"/>
                  <a:gd name="T52" fmla="*/ 894 w 912"/>
                  <a:gd name="T53" fmla="*/ 1214 h 1312"/>
                  <a:gd name="T54" fmla="*/ 903 w 912"/>
                  <a:gd name="T55" fmla="*/ 1259 h 1312"/>
                  <a:gd name="T56" fmla="*/ 912 w 912"/>
                  <a:gd name="T57" fmla="*/ 1294 h 1312"/>
                  <a:gd name="T58" fmla="*/ 894 w 912"/>
                  <a:gd name="T59" fmla="*/ 1303 h 1312"/>
                  <a:gd name="T60" fmla="*/ 858 w 912"/>
                  <a:gd name="T61" fmla="*/ 1303 h 1312"/>
                  <a:gd name="T62" fmla="*/ 822 w 912"/>
                  <a:gd name="T63" fmla="*/ 1268 h 1312"/>
                  <a:gd name="T64" fmla="*/ 787 w 912"/>
                  <a:gd name="T65" fmla="*/ 1241 h 1312"/>
                  <a:gd name="T66" fmla="*/ 769 w 912"/>
                  <a:gd name="T67" fmla="*/ 1223 h 1312"/>
                  <a:gd name="T68" fmla="*/ 715 w 912"/>
                  <a:gd name="T69" fmla="*/ 1223 h 1312"/>
                  <a:gd name="T70" fmla="*/ 670 w 912"/>
                  <a:gd name="T71" fmla="*/ 1214 h 1312"/>
                  <a:gd name="T72" fmla="*/ 653 w 912"/>
                  <a:gd name="T73" fmla="*/ 1250 h 1312"/>
                  <a:gd name="T74" fmla="*/ 617 w 912"/>
                  <a:gd name="T75" fmla="*/ 1223 h 1312"/>
                  <a:gd name="T76" fmla="*/ 581 w 912"/>
                  <a:gd name="T77" fmla="*/ 1187 h 1312"/>
                  <a:gd name="T78" fmla="*/ 545 w 912"/>
                  <a:gd name="T79" fmla="*/ 1151 h 1312"/>
                  <a:gd name="T80" fmla="*/ 519 w 912"/>
                  <a:gd name="T81" fmla="*/ 1134 h 1312"/>
                  <a:gd name="T82" fmla="*/ 483 w 912"/>
                  <a:gd name="T83" fmla="*/ 1143 h 1312"/>
                  <a:gd name="T84" fmla="*/ 456 w 912"/>
                  <a:gd name="T85" fmla="*/ 1125 h 1312"/>
                  <a:gd name="T86" fmla="*/ 420 w 912"/>
                  <a:gd name="T87" fmla="*/ 1134 h 1312"/>
                  <a:gd name="T88" fmla="*/ 394 w 912"/>
                  <a:gd name="T89" fmla="*/ 1143 h 1312"/>
                  <a:gd name="T90" fmla="*/ 367 w 912"/>
                  <a:gd name="T91" fmla="*/ 1107 h 1312"/>
                  <a:gd name="T92" fmla="*/ 322 w 912"/>
                  <a:gd name="T93" fmla="*/ 1116 h 1312"/>
                  <a:gd name="T94" fmla="*/ 286 w 912"/>
                  <a:gd name="T95" fmla="*/ 1089 h 1312"/>
                  <a:gd name="T96" fmla="*/ 268 w 912"/>
                  <a:gd name="T97" fmla="*/ 1080 h 1312"/>
                  <a:gd name="T98" fmla="*/ 260 w 912"/>
                  <a:gd name="T99" fmla="*/ 1044 h 1312"/>
                  <a:gd name="T100" fmla="*/ 215 w 912"/>
                  <a:gd name="T101" fmla="*/ 1026 h 1312"/>
                  <a:gd name="T102" fmla="*/ 179 w 912"/>
                  <a:gd name="T103" fmla="*/ 1053 h 1312"/>
                  <a:gd name="T104" fmla="*/ 143 w 912"/>
                  <a:gd name="T105" fmla="*/ 1035 h 1312"/>
                  <a:gd name="T106" fmla="*/ 81 w 912"/>
                  <a:gd name="T107" fmla="*/ 1026 h 1312"/>
                  <a:gd name="T108" fmla="*/ 54 w 912"/>
                  <a:gd name="T109" fmla="*/ 982 h 1312"/>
                  <a:gd name="T110" fmla="*/ 72 w 912"/>
                  <a:gd name="T111" fmla="*/ 937 h 1312"/>
                  <a:gd name="T112" fmla="*/ 63 w 912"/>
                  <a:gd name="T113" fmla="*/ 660 h 1312"/>
                  <a:gd name="T114" fmla="*/ 152 w 912"/>
                  <a:gd name="T115" fmla="*/ 428 h 1312"/>
                  <a:gd name="T116" fmla="*/ 322 w 912"/>
                  <a:gd name="T117" fmla="*/ 241 h 1312"/>
                  <a:gd name="T118" fmla="*/ 411 w 912"/>
                  <a:gd name="T119" fmla="*/ 116 h 1312"/>
                  <a:gd name="T120" fmla="*/ 545 w 912"/>
                  <a:gd name="T121" fmla="*/ 35 h 1312"/>
                  <a:gd name="T122" fmla="*/ 653 w 912"/>
                  <a:gd name="T123" fmla="*/ 151 h 131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</a:cxnLst>
                <a:rect l="0" t="0" r="r" b="b"/>
                <a:pathLst>
                  <a:path w="912" h="1312">
                    <a:moveTo>
                      <a:pt x="679" y="187"/>
                    </a:moveTo>
                    <a:lnTo>
                      <a:pt x="679" y="187"/>
                    </a:lnTo>
                    <a:lnTo>
                      <a:pt x="679" y="187"/>
                    </a:lnTo>
                    <a:lnTo>
                      <a:pt x="679" y="187"/>
                    </a:lnTo>
                    <a:lnTo>
                      <a:pt x="679" y="187"/>
                    </a:lnTo>
                    <a:lnTo>
                      <a:pt x="670" y="187"/>
                    </a:lnTo>
                    <a:lnTo>
                      <a:pt x="670" y="187"/>
                    </a:lnTo>
                    <a:lnTo>
                      <a:pt x="670" y="187"/>
                    </a:lnTo>
                    <a:lnTo>
                      <a:pt x="670" y="187"/>
                    </a:lnTo>
                    <a:lnTo>
                      <a:pt x="670" y="196"/>
                    </a:lnTo>
                    <a:lnTo>
                      <a:pt x="670" y="196"/>
                    </a:lnTo>
                    <a:lnTo>
                      <a:pt x="661" y="187"/>
                    </a:lnTo>
                    <a:lnTo>
                      <a:pt x="661" y="187"/>
                    </a:lnTo>
                    <a:lnTo>
                      <a:pt x="661" y="187"/>
                    </a:lnTo>
                    <a:lnTo>
                      <a:pt x="661" y="187"/>
                    </a:lnTo>
                    <a:lnTo>
                      <a:pt x="661" y="187"/>
                    </a:lnTo>
                    <a:lnTo>
                      <a:pt x="661" y="196"/>
                    </a:lnTo>
                    <a:lnTo>
                      <a:pt x="661" y="196"/>
                    </a:lnTo>
                    <a:lnTo>
                      <a:pt x="653" y="196"/>
                    </a:lnTo>
                    <a:lnTo>
                      <a:pt x="653" y="205"/>
                    </a:lnTo>
                    <a:lnTo>
                      <a:pt x="653" y="214"/>
                    </a:lnTo>
                    <a:lnTo>
                      <a:pt x="653" y="214"/>
                    </a:lnTo>
                    <a:lnTo>
                      <a:pt x="653" y="223"/>
                    </a:lnTo>
                    <a:lnTo>
                      <a:pt x="653" y="223"/>
                    </a:lnTo>
                    <a:lnTo>
                      <a:pt x="653" y="232"/>
                    </a:lnTo>
                    <a:lnTo>
                      <a:pt x="644" y="241"/>
                    </a:lnTo>
                    <a:lnTo>
                      <a:pt x="644" y="241"/>
                    </a:lnTo>
                    <a:lnTo>
                      <a:pt x="635" y="250"/>
                    </a:lnTo>
                    <a:lnTo>
                      <a:pt x="635" y="250"/>
                    </a:lnTo>
                    <a:lnTo>
                      <a:pt x="626" y="259"/>
                    </a:lnTo>
                    <a:lnTo>
                      <a:pt x="626" y="259"/>
                    </a:lnTo>
                    <a:lnTo>
                      <a:pt x="626" y="267"/>
                    </a:lnTo>
                    <a:lnTo>
                      <a:pt x="617" y="267"/>
                    </a:lnTo>
                    <a:lnTo>
                      <a:pt x="617" y="267"/>
                    </a:lnTo>
                    <a:lnTo>
                      <a:pt x="617" y="276"/>
                    </a:lnTo>
                    <a:lnTo>
                      <a:pt x="608" y="276"/>
                    </a:lnTo>
                    <a:lnTo>
                      <a:pt x="608" y="276"/>
                    </a:lnTo>
                    <a:lnTo>
                      <a:pt x="608" y="276"/>
                    </a:lnTo>
                    <a:lnTo>
                      <a:pt x="608" y="285"/>
                    </a:lnTo>
                    <a:lnTo>
                      <a:pt x="608" y="285"/>
                    </a:lnTo>
                    <a:lnTo>
                      <a:pt x="608" y="285"/>
                    </a:lnTo>
                    <a:lnTo>
                      <a:pt x="608" y="294"/>
                    </a:lnTo>
                    <a:lnTo>
                      <a:pt x="608" y="294"/>
                    </a:lnTo>
                    <a:lnTo>
                      <a:pt x="608" y="303"/>
                    </a:lnTo>
                    <a:lnTo>
                      <a:pt x="617" y="303"/>
                    </a:lnTo>
                    <a:lnTo>
                      <a:pt x="617" y="303"/>
                    </a:lnTo>
                    <a:lnTo>
                      <a:pt x="617" y="312"/>
                    </a:lnTo>
                    <a:lnTo>
                      <a:pt x="626" y="312"/>
                    </a:lnTo>
                    <a:lnTo>
                      <a:pt x="626" y="312"/>
                    </a:lnTo>
                    <a:lnTo>
                      <a:pt x="626" y="321"/>
                    </a:lnTo>
                    <a:lnTo>
                      <a:pt x="635" y="321"/>
                    </a:lnTo>
                    <a:lnTo>
                      <a:pt x="635" y="321"/>
                    </a:lnTo>
                    <a:lnTo>
                      <a:pt x="644" y="321"/>
                    </a:lnTo>
                    <a:lnTo>
                      <a:pt x="644" y="321"/>
                    </a:lnTo>
                    <a:lnTo>
                      <a:pt x="653" y="330"/>
                    </a:lnTo>
                    <a:lnTo>
                      <a:pt x="653" y="330"/>
                    </a:lnTo>
                    <a:lnTo>
                      <a:pt x="661" y="330"/>
                    </a:lnTo>
                    <a:lnTo>
                      <a:pt x="661" y="339"/>
                    </a:lnTo>
                    <a:lnTo>
                      <a:pt x="670" y="339"/>
                    </a:lnTo>
                    <a:lnTo>
                      <a:pt x="670" y="339"/>
                    </a:lnTo>
                    <a:lnTo>
                      <a:pt x="679" y="348"/>
                    </a:lnTo>
                    <a:lnTo>
                      <a:pt x="679" y="348"/>
                    </a:lnTo>
                    <a:lnTo>
                      <a:pt x="688" y="357"/>
                    </a:lnTo>
                    <a:lnTo>
                      <a:pt x="688" y="357"/>
                    </a:lnTo>
                    <a:lnTo>
                      <a:pt x="688" y="366"/>
                    </a:lnTo>
                    <a:lnTo>
                      <a:pt x="688" y="366"/>
                    </a:lnTo>
                    <a:lnTo>
                      <a:pt x="697" y="375"/>
                    </a:lnTo>
                    <a:lnTo>
                      <a:pt x="697" y="375"/>
                    </a:lnTo>
                    <a:lnTo>
                      <a:pt x="697" y="384"/>
                    </a:lnTo>
                    <a:lnTo>
                      <a:pt x="697" y="384"/>
                    </a:lnTo>
                    <a:lnTo>
                      <a:pt x="697" y="392"/>
                    </a:lnTo>
                    <a:lnTo>
                      <a:pt x="697" y="392"/>
                    </a:lnTo>
                    <a:lnTo>
                      <a:pt x="697" y="401"/>
                    </a:lnTo>
                    <a:lnTo>
                      <a:pt x="697" y="401"/>
                    </a:lnTo>
                    <a:lnTo>
                      <a:pt x="697" y="410"/>
                    </a:lnTo>
                    <a:lnTo>
                      <a:pt x="697" y="419"/>
                    </a:lnTo>
                    <a:lnTo>
                      <a:pt x="697" y="428"/>
                    </a:lnTo>
                    <a:lnTo>
                      <a:pt x="697" y="428"/>
                    </a:lnTo>
                    <a:lnTo>
                      <a:pt x="697" y="437"/>
                    </a:lnTo>
                    <a:lnTo>
                      <a:pt x="697" y="446"/>
                    </a:lnTo>
                    <a:lnTo>
                      <a:pt x="697" y="455"/>
                    </a:lnTo>
                    <a:lnTo>
                      <a:pt x="697" y="455"/>
                    </a:lnTo>
                    <a:lnTo>
                      <a:pt x="697" y="464"/>
                    </a:lnTo>
                    <a:lnTo>
                      <a:pt x="697" y="473"/>
                    </a:lnTo>
                    <a:lnTo>
                      <a:pt x="697" y="473"/>
                    </a:lnTo>
                    <a:lnTo>
                      <a:pt x="697" y="482"/>
                    </a:lnTo>
                    <a:lnTo>
                      <a:pt x="706" y="482"/>
                    </a:lnTo>
                    <a:lnTo>
                      <a:pt x="706" y="491"/>
                    </a:lnTo>
                    <a:lnTo>
                      <a:pt x="706" y="500"/>
                    </a:lnTo>
                    <a:lnTo>
                      <a:pt x="706" y="500"/>
                    </a:lnTo>
                    <a:lnTo>
                      <a:pt x="706" y="509"/>
                    </a:lnTo>
                    <a:lnTo>
                      <a:pt x="715" y="509"/>
                    </a:lnTo>
                    <a:lnTo>
                      <a:pt x="715" y="517"/>
                    </a:lnTo>
                    <a:lnTo>
                      <a:pt x="715" y="517"/>
                    </a:lnTo>
                    <a:lnTo>
                      <a:pt x="724" y="526"/>
                    </a:lnTo>
                    <a:lnTo>
                      <a:pt x="724" y="526"/>
                    </a:lnTo>
                    <a:lnTo>
                      <a:pt x="724" y="535"/>
                    </a:lnTo>
                    <a:lnTo>
                      <a:pt x="724" y="544"/>
                    </a:lnTo>
                    <a:lnTo>
                      <a:pt x="724" y="544"/>
                    </a:lnTo>
                    <a:lnTo>
                      <a:pt x="724" y="553"/>
                    </a:lnTo>
                    <a:lnTo>
                      <a:pt x="724" y="553"/>
                    </a:lnTo>
                    <a:lnTo>
                      <a:pt x="724" y="562"/>
                    </a:lnTo>
                    <a:lnTo>
                      <a:pt x="724" y="571"/>
                    </a:lnTo>
                    <a:lnTo>
                      <a:pt x="724" y="571"/>
                    </a:lnTo>
                    <a:lnTo>
                      <a:pt x="724" y="580"/>
                    </a:lnTo>
                    <a:lnTo>
                      <a:pt x="733" y="589"/>
                    </a:lnTo>
                    <a:lnTo>
                      <a:pt x="733" y="589"/>
                    </a:lnTo>
                    <a:lnTo>
                      <a:pt x="733" y="598"/>
                    </a:lnTo>
                    <a:lnTo>
                      <a:pt x="733" y="607"/>
                    </a:lnTo>
                    <a:lnTo>
                      <a:pt x="733" y="616"/>
                    </a:lnTo>
                    <a:lnTo>
                      <a:pt x="733" y="625"/>
                    </a:lnTo>
                    <a:lnTo>
                      <a:pt x="733" y="625"/>
                    </a:lnTo>
                    <a:lnTo>
                      <a:pt x="742" y="634"/>
                    </a:lnTo>
                    <a:lnTo>
                      <a:pt x="742" y="642"/>
                    </a:lnTo>
                    <a:lnTo>
                      <a:pt x="742" y="651"/>
                    </a:lnTo>
                    <a:lnTo>
                      <a:pt x="733" y="660"/>
                    </a:lnTo>
                    <a:lnTo>
                      <a:pt x="733" y="660"/>
                    </a:lnTo>
                    <a:lnTo>
                      <a:pt x="733" y="669"/>
                    </a:lnTo>
                    <a:lnTo>
                      <a:pt x="733" y="678"/>
                    </a:lnTo>
                    <a:lnTo>
                      <a:pt x="733" y="687"/>
                    </a:lnTo>
                    <a:lnTo>
                      <a:pt x="733" y="687"/>
                    </a:lnTo>
                    <a:lnTo>
                      <a:pt x="733" y="696"/>
                    </a:lnTo>
                    <a:lnTo>
                      <a:pt x="733" y="705"/>
                    </a:lnTo>
                    <a:lnTo>
                      <a:pt x="733" y="705"/>
                    </a:lnTo>
                    <a:lnTo>
                      <a:pt x="733" y="714"/>
                    </a:lnTo>
                    <a:lnTo>
                      <a:pt x="733" y="723"/>
                    </a:lnTo>
                    <a:lnTo>
                      <a:pt x="733" y="723"/>
                    </a:lnTo>
                    <a:lnTo>
                      <a:pt x="733" y="732"/>
                    </a:lnTo>
                    <a:lnTo>
                      <a:pt x="733" y="732"/>
                    </a:lnTo>
                    <a:lnTo>
                      <a:pt x="733" y="741"/>
                    </a:lnTo>
                    <a:lnTo>
                      <a:pt x="733" y="750"/>
                    </a:lnTo>
                    <a:lnTo>
                      <a:pt x="733" y="759"/>
                    </a:lnTo>
                    <a:lnTo>
                      <a:pt x="733" y="767"/>
                    </a:lnTo>
                    <a:lnTo>
                      <a:pt x="733" y="767"/>
                    </a:lnTo>
                    <a:lnTo>
                      <a:pt x="733" y="776"/>
                    </a:lnTo>
                    <a:lnTo>
                      <a:pt x="733" y="785"/>
                    </a:lnTo>
                    <a:lnTo>
                      <a:pt x="733" y="794"/>
                    </a:lnTo>
                    <a:lnTo>
                      <a:pt x="733" y="794"/>
                    </a:lnTo>
                    <a:lnTo>
                      <a:pt x="733" y="803"/>
                    </a:lnTo>
                    <a:lnTo>
                      <a:pt x="733" y="812"/>
                    </a:lnTo>
                    <a:lnTo>
                      <a:pt x="733" y="812"/>
                    </a:lnTo>
                    <a:lnTo>
                      <a:pt x="733" y="821"/>
                    </a:lnTo>
                    <a:lnTo>
                      <a:pt x="733" y="821"/>
                    </a:lnTo>
                    <a:lnTo>
                      <a:pt x="733" y="830"/>
                    </a:lnTo>
                    <a:lnTo>
                      <a:pt x="733" y="830"/>
                    </a:lnTo>
                    <a:lnTo>
                      <a:pt x="733" y="839"/>
                    </a:lnTo>
                    <a:lnTo>
                      <a:pt x="724" y="839"/>
                    </a:lnTo>
                    <a:lnTo>
                      <a:pt x="724" y="839"/>
                    </a:lnTo>
                    <a:lnTo>
                      <a:pt x="715" y="839"/>
                    </a:lnTo>
                    <a:lnTo>
                      <a:pt x="715" y="839"/>
                    </a:lnTo>
                    <a:lnTo>
                      <a:pt x="715" y="839"/>
                    </a:lnTo>
                    <a:lnTo>
                      <a:pt x="706" y="839"/>
                    </a:lnTo>
                    <a:lnTo>
                      <a:pt x="706" y="848"/>
                    </a:lnTo>
                    <a:lnTo>
                      <a:pt x="706" y="848"/>
                    </a:lnTo>
                    <a:lnTo>
                      <a:pt x="697" y="848"/>
                    </a:lnTo>
                    <a:lnTo>
                      <a:pt x="697" y="848"/>
                    </a:lnTo>
                    <a:lnTo>
                      <a:pt x="697" y="857"/>
                    </a:lnTo>
                    <a:lnTo>
                      <a:pt x="697" y="857"/>
                    </a:lnTo>
                    <a:lnTo>
                      <a:pt x="697" y="857"/>
                    </a:lnTo>
                    <a:lnTo>
                      <a:pt x="697" y="857"/>
                    </a:lnTo>
                    <a:lnTo>
                      <a:pt x="697" y="866"/>
                    </a:lnTo>
                    <a:lnTo>
                      <a:pt x="697" y="866"/>
                    </a:lnTo>
                    <a:lnTo>
                      <a:pt x="697" y="866"/>
                    </a:lnTo>
                    <a:lnTo>
                      <a:pt x="697" y="875"/>
                    </a:lnTo>
                    <a:lnTo>
                      <a:pt x="697" y="875"/>
                    </a:lnTo>
                    <a:lnTo>
                      <a:pt x="697" y="875"/>
                    </a:lnTo>
                    <a:lnTo>
                      <a:pt x="697" y="884"/>
                    </a:lnTo>
                    <a:lnTo>
                      <a:pt x="697" y="884"/>
                    </a:lnTo>
                    <a:lnTo>
                      <a:pt x="697" y="884"/>
                    </a:lnTo>
                    <a:lnTo>
                      <a:pt x="706" y="884"/>
                    </a:lnTo>
                    <a:lnTo>
                      <a:pt x="706" y="893"/>
                    </a:lnTo>
                    <a:lnTo>
                      <a:pt x="706" y="893"/>
                    </a:lnTo>
                    <a:lnTo>
                      <a:pt x="715" y="893"/>
                    </a:lnTo>
                    <a:lnTo>
                      <a:pt x="715" y="893"/>
                    </a:lnTo>
                    <a:lnTo>
                      <a:pt x="724" y="893"/>
                    </a:lnTo>
                    <a:lnTo>
                      <a:pt x="724" y="893"/>
                    </a:lnTo>
                    <a:lnTo>
                      <a:pt x="724" y="893"/>
                    </a:lnTo>
                    <a:lnTo>
                      <a:pt x="724" y="893"/>
                    </a:lnTo>
                    <a:lnTo>
                      <a:pt x="724" y="893"/>
                    </a:lnTo>
                    <a:lnTo>
                      <a:pt x="733" y="901"/>
                    </a:lnTo>
                    <a:lnTo>
                      <a:pt x="733" y="901"/>
                    </a:lnTo>
                    <a:lnTo>
                      <a:pt x="733" y="901"/>
                    </a:lnTo>
                    <a:lnTo>
                      <a:pt x="733" y="901"/>
                    </a:lnTo>
                    <a:lnTo>
                      <a:pt x="724" y="910"/>
                    </a:lnTo>
                    <a:lnTo>
                      <a:pt x="724" y="910"/>
                    </a:lnTo>
                    <a:lnTo>
                      <a:pt x="724" y="910"/>
                    </a:lnTo>
                    <a:lnTo>
                      <a:pt x="724" y="919"/>
                    </a:lnTo>
                    <a:lnTo>
                      <a:pt x="715" y="919"/>
                    </a:lnTo>
                    <a:lnTo>
                      <a:pt x="715" y="919"/>
                    </a:lnTo>
                    <a:lnTo>
                      <a:pt x="715" y="928"/>
                    </a:lnTo>
                    <a:lnTo>
                      <a:pt x="706" y="928"/>
                    </a:lnTo>
                    <a:lnTo>
                      <a:pt x="706" y="928"/>
                    </a:lnTo>
                    <a:lnTo>
                      <a:pt x="697" y="937"/>
                    </a:lnTo>
                    <a:lnTo>
                      <a:pt x="697" y="937"/>
                    </a:lnTo>
                    <a:lnTo>
                      <a:pt x="697" y="946"/>
                    </a:lnTo>
                    <a:lnTo>
                      <a:pt x="697" y="946"/>
                    </a:lnTo>
                    <a:lnTo>
                      <a:pt x="697" y="946"/>
                    </a:lnTo>
                    <a:lnTo>
                      <a:pt x="688" y="955"/>
                    </a:lnTo>
                    <a:lnTo>
                      <a:pt x="688" y="955"/>
                    </a:lnTo>
                    <a:lnTo>
                      <a:pt x="688" y="964"/>
                    </a:lnTo>
                    <a:lnTo>
                      <a:pt x="688" y="964"/>
                    </a:lnTo>
                    <a:lnTo>
                      <a:pt x="688" y="973"/>
                    </a:lnTo>
                    <a:lnTo>
                      <a:pt x="688" y="973"/>
                    </a:lnTo>
                    <a:lnTo>
                      <a:pt x="688" y="982"/>
                    </a:lnTo>
                    <a:lnTo>
                      <a:pt x="688" y="982"/>
                    </a:lnTo>
                    <a:lnTo>
                      <a:pt x="688" y="991"/>
                    </a:lnTo>
                    <a:lnTo>
                      <a:pt x="688" y="991"/>
                    </a:lnTo>
                    <a:lnTo>
                      <a:pt x="688" y="1000"/>
                    </a:lnTo>
                    <a:lnTo>
                      <a:pt x="697" y="1000"/>
                    </a:lnTo>
                    <a:lnTo>
                      <a:pt x="697" y="1000"/>
                    </a:lnTo>
                    <a:lnTo>
                      <a:pt x="697" y="1000"/>
                    </a:lnTo>
                    <a:lnTo>
                      <a:pt x="706" y="1000"/>
                    </a:lnTo>
                    <a:lnTo>
                      <a:pt x="706" y="1000"/>
                    </a:lnTo>
                    <a:lnTo>
                      <a:pt x="706" y="991"/>
                    </a:lnTo>
                    <a:lnTo>
                      <a:pt x="706" y="991"/>
                    </a:lnTo>
                    <a:lnTo>
                      <a:pt x="715" y="991"/>
                    </a:lnTo>
                    <a:lnTo>
                      <a:pt x="715" y="991"/>
                    </a:lnTo>
                    <a:lnTo>
                      <a:pt x="715" y="982"/>
                    </a:lnTo>
                    <a:lnTo>
                      <a:pt x="724" y="982"/>
                    </a:lnTo>
                    <a:lnTo>
                      <a:pt x="724" y="982"/>
                    </a:lnTo>
                    <a:lnTo>
                      <a:pt x="724" y="973"/>
                    </a:lnTo>
                    <a:lnTo>
                      <a:pt x="724" y="973"/>
                    </a:lnTo>
                    <a:lnTo>
                      <a:pt x="724" y="964"/>
                    </a:lnTo>
                    <a:lnTo>
                      <a:pt x="733" y="964"/>
                    </a:lnTo>
                    <a:lnTo>
                      <a:pt x="733" y="964"/>
                    </a:lnTo>
                    <a:lnTo>
                      <a:pt x="733" y="964"/>
                    </a:lnTo>
                    <a:lnTo>
                      <a:pt x="733" y="964"/>
                    </a:lnTo>
                    <a:lnTo>
                      <a:pt x="733" y="964"/>
                    </a:lnTo>
                    <a:lnTo>
                      <a:pt x="733" y="964"/>
                    </a:lnTo>
                    <a:lnTo>
                      <a:pt x="733" y="973"/>
                    </a:lnTo>
                    <a:lnTo>
                      <a:pt x="733" y="973"/>
                    </a:lnTo>
                    <a:lnTo>
                      <a:pt x="733" y="973"/>
                    </a:lnTo>
                    <a:lnTo>
                      <a:pt x="733" y="982"/>
                    </a:lnTo>
                    <a:lnTo>
                      <a:pt x="733" y="982"/>
                    </a:lnTo>
                    <a:lnTo>
                      <a:pt x="733" y="982"/>
                    </a:lnTo>
                    <a:lnTo>
                      <a:pt x="733" y="991"/>
                    </a:lnTo>
                    <a:lnTo>
                      <a:pt x="733" y="991"/>
                    </a:lnTo>
                    <a:lnTo>
                      <a:pt x="733" y="1000"/>
                    </a:lnTo>
                    <a:lnTo>
                      <a:pt x="733" y="1000"/>
                    </a:lnTo>
                    <a:lnTo>
                      <a:pt x="733" y="1009"/>
                    </a:lnTo>
                    <a:lnTo>
                      <a:pt x="733" y="1009"/>
                    </a:lnTo>
                    <a:lnTo>
                      <a:pt x="733" y="1009"/>
                    </a:lnTo>
                    <a:lnTo>
                      <a:pt x="733" y="1018"/>
                    </a:lnTo>
                    <a:lnTo>
                      <a:pt x="742" y="1018"/>
                    </a:lnTo>
                    <a:lnTo>
                      <a:pt x="742" y="1018"/>
                    </a:lnTo>
                    <a:lnTo>
                      <a:pt x="742" y="1026"/>
                    </a:lnTo>
                    <a:lnTo>
                      <a:pt x="751" y="1026"/>
                    </a:lnTo>
                    <a:lnTo>
                      <a:pt x="751" y="1026"/>
                    </a:lnTo>
                    <a:lnTo>
                      <a:pt x="751" y="1026"/>
                    </a:lnTo>
                    <a:lnTo>
                      <a:pt x="760" y="1026"/>
                    </a:lnTo>
                    <a:lnTo>
                      <a:pt x="760" y="1026"/>
                    </a:lnTo>
                    <a:lnTo>
                      <a:pt x="760" y="1026"/>
                    </a:lnTo>
                    <a:lnTo>
                      <a:pt x="769" y="1026"/>
                    </a:lnTo>
                    <a:lnTo>
                      <a:pt x="769" y="1026"/>
                    </a:lnTo>
                    <a:lnTo>
                      <a:pt x="769" y="1026"/>
                    </a:lnTo>
                    <a:lnTo>
                      <a:pt x="769" y="1018"/>
                    </a:lnTo>
                    <a:lnTo>
                      <a:pt x="778" y="1018"/>
                    </a:lnTo>
                    <a:lnTo>
                      <a:pt x="778" y="1018"/>
                    </a:lnTo>
                    <a:lnTo>
                      <a:pt x="778" y="1018"/>
                    </a:lnTo>
                    <a:lnTo>
                      <a:pt x="778" y="1018"/>
                    </a:lnTo>
                    <a:lnTo>
                      <a:pt x="787" y="1018"/>
                    </a:lnTo>
                    <a:lnTo>
                      <a:pt x="787" y="1018"/>
                    </a:lnTo>
                    <a:lnTo>
                      <a:pt x="787" y="1018"/>
                    </a:lnTo>
                    <a:lnTo>
                      <a:pt x="795" y="1018"/>
                    </a:lnTo>
                    <a:lnTo>
                      <a:pt x="795" y="1018"/>
                    </a:lnTo>
                    <a:lnTo>
                      <a:pt x="795" y="1026"/>
                    </a:lnTo>
                    <a:lnTo>
                      <a:pt x="795" y="1026"/>
                    </a:lnTo>
                    <a:lnTo>
                      <a:pt x="795" y="1026"/>
                    </a:lnTo>
                    <a:lnTo>
                      <a:pt x="795" y="1035"/>
                    </a:lnTo>
                    <a:lnTo>
                      <a:pt x="795" y="1035"/>
                    </a:lnTo>
                    <a:lnTo>
                      <a:pt x="795" y="1035"/>
                    </a:lnTo>
                    <a:lnTo>
                      <a:pt x="795" y="1044"/>
                    </a:lnTo>
                    <a:lnTo>
                      <a:pt x="795" y="1044"/>
                    </a:lnTo>
                    <a:lnTo>
                      <a:pt x="795" y="1044"/>
                    </a:lnTo>
                    <a:lnTo>
                      <a:pt x="795" y="1044"/>
                    </a:lnTo>
                    <a:lnTo>
                      <a:pt x="804" y="1044"/>
                    </a:lnTo>
                    <a:lnTo>
                      <a:pt x="804" y="1053"/>
                    </a:lnTo>
                    <a:lnTo>
                      <a:pt x="804" y="1053"/>
                    </a:lnTo>
                    <a:lnTo>
                      <a:pt x="804" y="1053"/>
                    </a:lnTo>
                    <a:lnTo>
                      <a:pt x="813" y="1053"/>
                    </a:lnTo>
                    <a:lnTo>
                      <a:pt x="813" y="1062"/>
                    </a:lnTo>
                    <a:lnTo>
                      <a:pt x="813" y="1062"/>
                    </a:lnTo>
                    <a:lnTo>
                      <a:pt x="822" y="1062"/>
                    </a:lnTo>
                    <a:lnTo>
                      <a:pt x="822" y="1071"/>
                    </a:lnTo>
                    <a:lnTo>
                      <a:pt x="822" y="1071"/>
                    </a:lnTo>
                    <a:lnTo>
                      <a:pt x="831" y="1080"/>
                    </a:lnTo>
                    <a:lnTo>
                      <a:pt x="831" y="1080"/>
                    </a:lnTo>
                    <a:lnTo>
                      <a:pt x="840" y="1080"/>
                    </a:lnTo>
                    <a:lnTo>
                      <a:pt x="840" y="1089"/>
                    </a:lnTo>
                    <a:lnTo>
                      <a:pt x="840" y="1089"/>
                    </a:lnTo>
                    <a:lnTo>
                      <a:pt x="849" y="1089"/>
                    </a:lnTo>
                    <a:lnTo>
                      <a:pt x="849" y="1089"/>
                    </a:lnTo>
                    <a:lnTo>
                      <a:pt x="858" y="1089"/>
                    </a:lnTo>
                    <a:lnTo>
                      <a:pt x="858" y="1089"/>
                    </a:lnTo>
                    <a:lnTo>
                      <a:pt x="858" y="1089"/>
                    </a:lnTo>
                    <a:lnTo>
                      <a:pt x="867" y="1089"/>
                    </a:lnTo>
                    <a:lnTo>
                      <a:pt x="867" y="1089"/>
                    </a:lnTo>
                    <a:lnTo>
                      <a:pt x="867" y="1089"/>
                    </a:lnTo>
                    <a:lnTo>
                      <a:pt x="867" y="1089"/>
                    </a:lnTo>
                    <a:lnTo>
                      <a:pt x="876" y="1089"/>
                    </a:lnTo>
                    <a:lnTo>
                      <a:pt x="876" y="1089"/>
                    </a:lnTo>
                    <a:lnTo>
                      <a:pt x="876" y="1089"/>
                    </a:lnTo>
                    <a:lnTo>
                      <a:pt x="876" y="1089"/>
                    </a:lnTo>
                    <a:lnTo>
                      <a:pt x="876" y="1089"/>
                    </a:lnTo>
                    <a:lnTo>
                      <a:pt x="876" y="1089"/>
                    </a:lnTo>
                    <a:lnTo>
                      <a:pt x="885" y="1098"/>
                    </a:lnTo>
                    <a:lnTo>
                      <a:pt x="876" y="1098"/>
                    </a:lnTo>
                    <a:lnTo>
                      <a:pt x="876" y="1098"/>
                    </a:lnTo>
                    <a:lnTo>
                      <a:pt x="876" y="1107"/>
                    </a:lnTo>
                    <a:lnTo>
                      <a:pt x="876" y="1107"/>
                    </a:lnTo>
                    <a:lnTo>
                      <a:pt x="876" y="1107"/>
                    </a:lnTo>
                    <a:lnTo>
                      <a:pt x="876" y="1116"/>
                    </a:lnTo>
                    <a:lnTo>
                      <a:pt x="876" y="1116"/>
                    </a:lnTo>
                    <a:lnTo>
                      <a:pt x="876" y="1116"/>
                    </a:lnTo>
                    <a:lnTo>
                      <a:pt x="885" y="1116"/>
                    </a:lnTo>
                    <a:lnTo>
                      <a:pt x="885" y="1116"/>
                    </a:lnTo>
                    <a:lnTo>
                      <a:pt x="885" y="1116"/>
                    </a:lnTo>
                    <a:lnTo>
                      <a:pt x="894" y="1116"/>
                    </a:lnTo>
                    <a:lnTo>
                      <a:pt x="894" y="1116"/>
                    </a:lnTo>
                    <a:lnTo>
                      <a:pt x="894" y="1116"/>
                    </a:lnTo>
                    <a:lnTo>
                      <a:pt x="903" y="1116"/>
                    </a:lnTo>
                    <a:lnTo>
                      <a:pt x="903" y="1116"/>
                    </a:lnTo>
                    <a:lnTo>
                      <a:pt x="903" y="1125"/>
                    </a:lnTo>
                    <a:lnTo>
                      <a:pt x="903" y="1125"/>
                    </a:lnTo>
                    <a:lnTo>
                      <a:pt x="912" y="1125"/>
                    </a:lnTo>
                    <a:lnTo>
                      <a:pt x="912" y="1125"/>
                    </a:lnTo>
                    <a:lnTo>
                      <a:pt x="912" y="1134"/>
                    </a:lnTo>
                    <a:lnTo>
                      <a:pt x="912" y="1134"/>
                    </a:lnTo>
                    <a:lnTo>
                      <a:pt x="912" y="1134"/>
                    </a:lnTo>
                    <a:lnTo>
                      <a:pt x="912" y="1143"/>
                    </a:lnTo>
                    <a:lnTo>
                      <a:pt x="912" y="1143"/>
                    </a:lnTo>
                    <a:lnTo>
                      <a:pt x="912" y="1143"/>
                    </a:lnTo>
                    <a:lnTo>
                      <a:pt x="912" y="1151"/>
                    </a:lnTo>
                    <a:lnTo>
                      <a:pt x="903" y="1151"/>
                    </a:lnTo>
                    <a:lnTo>
                      <a:pt x="903" y="1151"/>
                    </a:lnTo>
                    <a:lnTo>
                      <a:pt x="903" y="1160"/>
                    </a:lnTo>
                    <a:lnTo>
                      <a:pt x="903" y="1160"/>
                    </a:lnTo>
                    <a:lnTo>
                      <a:pt x="903" y="1160"/>
                    </a:lnTo>
                    <a:lnTo>
                      <a:pt x="894" y="1169"/>
                    </a:lnTo>
                    <a:lnTo>
                      <a:pt x="894" y="1169"/>
                    </a:lnTo>
                    <a:lnTo>
                      <a:pt x="894" y="1169"/>
                    </a:lnTo>
                    <a:lnTo>
                      <a:pt x="894" y="1178"/>
                    </a:lnTo>
                    <a:lnTo>
                      <a:pt x="894" y="1178"/>
                    </a:lnTo>
                    <a:lnTo>
                      <a:pt x="894" y="1187"/>
                    </a:lnTo>
                    <a:lnTo>
                      <a:pt x="894" y="1187"/>
                    </a:lnTo>
                    <a:lnTo>
                      <a:pt x="885" y="1187"/>
                    </a:lnTo>
                    <a:lnTo>
                      <a:pt x="885" y="1196"/>
                    </a:lnTo>
                    <a:lnTo>
                      <a:pt x="894" y="1196"/>
                    </a:lnTo>
                    <a:lnTo>
                      <a:pt x="894" y="1205"/>
                    </a:lnTo>
                    <a:lnTo>
                      <a:pt x="894" y="1205"/>
                    </a:lnTo>
                    <a:lnTo>
                      <a:pt x="894" y="1214"/>
                    </a:lnTo>
                    <a:lnTo>
                      <a:pt x="894" y="1214"/>
                    </a:lnTo>
                    <a:lnTo>
                      <a:pt x="894" y="1223"/>
                    </a:lnTo>
                    <a:lnTo>
                      <a:pt x="894" y="1223"/>
                    </a:lnTo>
                    <a:lnTo>
                      <a:pt x="894" y="1232"/>
                    </a:lnTo>
                    <a:lnTo>
                      <a:pt x="894" y="1232"/>
                    </a:lnTo>
                    <a:lnTo>
                      <a:pt x="894" y="1232"/>
                    </a:lnTo>
                    <a:lnTo>
                      <a:pt x="903" y="1241"/>
                    </a:lnTo>
                    <a:lnTo>
                      <a:pt x="903" y="1241"/>
                    </a:lnTo>
                    <a:lnTo>
                      <a:pt x="903" y="1250"/>
                    </a:lnTo>
                    <a:lnTo>
                      <a:pt x="903" y="1250"/>
                    </a:lnTo>
                    <a:lnTo>
                      <a:pt x="903" y="1250"/>
                    </a:lnTo>
                    <a:lnTo>
                      <a:pt x="903" y="1250"/>
                    </a:lnTo>
                    <a:lnTo>
                      <a:pt x="903" y="1259"/>
                    </a:lnTo>
                    <a:lnTo>
                      <a:pt x="903" y="1259"/>
                    </a:lnTo>
                    <a:lnTo>
                      <a:pt x="912" y="1259"/>
                    </a:lnTo>
                    <a:lnTo>
                      <a:pt x="912" y="1259"/>
                    </a:lnTo>
                    <a:lnTo>
                      <a:pt x="912" y="1268"/>
                    </a:lnTo>
                    <a:lnTo>
                      <a:pt x="912" y="1268"/>
                    </a:lnTo>
                    <a:lnTo>
                      <a:pt x="912" y="1268"/>
                    </a:lnTo>
                    <a:lnTo>
                      <a:pt x="912" y="1276"/>
                    </a:lnTo>
                    <a:lnTo>
                      <a:pt x="912" y="1276"/>
                    </a:lnTo>
                    <a:lnTo>
                      <a:pt x="912" y="1276"/>
                    </a:lnTo>
                    <a:lnTo>
                      <a:pt x="912" y="1285"/>
                    </a:lnTo>
                    <a:lnTo>
                      <a:pt x="912" y="1285"/>
                    </a:lnTo>
                    <a:lnTo>
                      <a:pt x="912" y="1294"/>
                    </a:lnTo>
                    <a:lnTo>
                      <a:pt x="912" y="1294"/>
                    </a:lnTo>
                    <a:lnTo>
                      <a:pt x="912" y="1294"/>
                    </a:lnTo>
                    <a:lnTo>
                      <a:pt x="912" y="1294"/>
                    </a:lnTo>
                    <a:lnTo>
                      <a:pt x="903" y="1294"/>
                    </a:lnTo>
                    <a:lnTo>
                      <a:pt x="903" y="1294"/>
                    </a:lnTo>
                    <a:lnTo>
                      <a:pt x="903" y="1294"/>
                    </a:lnTo>
                    <a:lnTo>
                      <a:pt x="903" y="1294"/>
                    </a:lnTo>
                    <a:lnTo>
                      <a:pt x="894" y="1294"/>
                    </a:lnTo>
                    <a:lnTo>
                      <a:pt x="894" y="1294"/>
                    </a:lnTo>
                    <a:lnTo>
                      <a:pt x="894" y="1294"/>
                    </a:lnTo>
                    <a:lnTo>
                      <a:pt x="894" y="1294"/>
                    </a:lnTo>
                    <a:lnTo>
                      <a:pt x="894" y="1303"/>
                    </a:lnTo>
                    <a:lnTo>
                      <a:pt x="894" y="1303"/>
                    </a:lnTo>
                    <a:lnTo>
                      <a:pt x="894" y="1303"/>
                    </a:lnTo>
                    <a:lnTo>
                      <a:pt x="894" y="1303"/>
                    </a:lnTo>
                    <a:lnTo>
                      <a:pt x="894" y="1312"/>
                    </a:lnTo>
                    <a:lnTo>
                      <a:pt x="894" y="1312"/>
                    </a:lnTo>
                    <a:lnTo>
                      <a:pt x="885" y="1312"/>
                    </a:lnTo>
                    <a:lnTo>
                      <a:pt x="885" y="1312"/>
                    </a:lnTo>
                    <a:lnTo>
                      <a:pt x="885" y="1312"/>
                    </a:lnTo>
                    <a:lnTo>
                      <a:pt x="876" y="1312"/>
                    </a:lnTo>
                    <a:lnTo>
                      <a:pt x="876" y="1312"/>
                    </a:lnTo>
                    <a:lnTo>
                      <a:pt x="876" y="1312"/>
                    </a:lnTo>
                    <a:lnTo>
                      <a:pt x="867" y="1312"/>
                    </a:lnTo>
                    <a:lnTo>
                      <a:pt x="867" y="1312"/>
                    </a:lnTo>
                    <a:lnTo>
                      <a:pt x="867" y="1312"/>
                    </a:lnTo>
                    <a:lnTo>
                      <a:pt x="858" y="1303"/>
                    </a:lnTo>
                    <a:lnTo>
                      <a:pt x="858" y="1303"/>
                    </a:lnTo>
                    <a:lnTo>
                      <a:pt x="858" y="1294"/>
                    </a:lnTo>
                    <a:lnTo>
                      <a:pt x="858" y="1285"/>
                    </a:lnTo>
                    <a:lnTo>
                      <a:pt x="858" y="1285"/>
                    </a:lnTo>
                    <a:lnTo>
                      <a:pt x="849" y="1276"/>
                    </a:lnTo>
                    <a:lnTo>
                      <a:pt x="849" y="1276"/>
                    </a:lnTo>
                    <a:lnTo>
                      <a:pt x="849" y="1276"/>
                    </a:lnTo>
                    <a:lnTo>
                      <a:pt x="840" y="1268"/>
                    </a:lnTo>
                    <a:lnTo>
                      <a:pt x="840" y="1268"/>
                    </a:lnTo>
                    <a:lnTo>
                      <a:pt x="831" y="1268"/>
                    </a:lnTo>
                    <a:lnTo>
                      <a:pt x="831" y="1268"/>
                    </a:lnTo>
                    <a:lnTo>
                      <a:pt x="822" y="1268"/>
                    </a:lnTo>
                    <a:lnTo>
                      <a:pt x="822" y="1268"/>
                    </a:lnTo>
                    <a:lnTo>
                      <a:pt x="822" y="1268"/>
                    </a:lnTo>
                    <a:lnTo>
                      <a:pt x="813" y="1268"/>
                    </a:lnTo>
                    <a:lnTo>
                      <a:pt x="813" y="1259"/>
                    </a:lnTo>
                    <a:lnTo>
                      <a:pt x="813" y="1259"/>
                    </a:lnTo>
                    <a:lnTo>
                      <a:pt x="813" y="1259"/>
                    </a:lnTo>
                    <a:lnTo>
                      <a:pt x="813" y="1250"/>
                    </a:lnTo>
                    <a:lnTo>
                      <a:pt x="813" y="1250"/>
                    </a:lnTo>
                    <a:lnTo>
                      <a:pt x="804" y="1241"/>
                    </a:lnTo>
                    <a:lnTo>
                      <a:pt x="804" y="1241"/>
                    </a:lnTo>
                    <a:lnTo>
                      <a:pt x="804" y="1241"/>
                    </a:lnTo>
                    <a:lnTo>
                      <a:pt x="795" y="1241"/>
                    </a:lnTo>
                    <a:lnTo>
                      <a:pt x="795" y="1241"/>
                    </a:lnTo>
                    <a:lnTo>
                      <a:pt x="787" y="1241"/>
                    </a:lnTo>
                    <a:lnTo>
                      <a:pt x="787" y="1241"/>
                    </a:lnTo>
                    <a:lnTo>
                      <a:pt x="787" y="1241"/>
                    </a:lnTo>
                    <a:lnTo>
                      <a:pt x="778" y="1241"/>
                    </a:lnTo>
                    <a:lnTo>
                      <a:pt x="778" y="1241"/>
                    </a:lnTo>
                    <a:lnTo>
                      <a:pt x="778" y="1241"/>
                    </a:lnTo>
                    <a:lnTo>
                      <a:pt x="769" y="1241"/>
                    </a:lnTo>
                    <a:lnTo>
                      <a:pt x="769" y="1232"/>
                    </a:lnTo>
                    <a:lnTo>
                      <a:pt x="769" y="1232"/>
                    </a:lnTo>
                    <a:lnTo>
                      <a:pt x="769" y="1232"/>
                    </a:lnTo>
                    <a:lnTo>
                      <a:pt x="769" y="1232"/>
                    </a:lnTo>
                    <a:lnTo>
                      <a:pt x="769" y="1223"/>
                    </a:lnTo>
                    <a:lnTo>
                      <a:pt x="769" y="1223"/>
                    </a:lnTo>
                    <a:lnTo>
                      <a:pt x="769" y="1223"/>
                    </a:lnTo>
                    <a:lnTo>
                      <a:pt x="760" y="1223"/>
                    </a:lnTo>
                    <a:lnTo>
                      <a:pt x="760" y="1223"/>
                    </a:lnTo>
                    <a:lnTo>
                      <a:pt x="751" y="1223"/>
                    </a:lnTo>
                    <a:lnTo>
                      <a:pt x="751" y="1232"/>
                    </a:lnTo>
                    <a:lnTo>
                      <a:pt x="742" y="1232"/>
                    </a:lnTo>
                    <a:lnTo>
                      <a:pt x="733" y="1232"/>
                    </a:lnTo>
                    <a:lnTo>
                      <a:pt x="733" y="1232"/>
                    </a:lnTo>
                    <a:lnTo>
                      <a:pt x="733" y="1232"/>
                    </a:lnTo>
                    <a:lnTo>
                      <a:pt x="724" y="1232"/>
                    </a:lnTo>
                    <a:lnTo>
                      <a:pt x="724" y="1223"/>
                    </a:lnTo>
                    <a:lnTo>
                      <a:pt x="715" y="1223"/>
                    </a:lnTo>
                    <a:lnTo>
                      <a:pt x="715" y="1223"/>
                    </a:lnTo>
                    <a:lnTo>
                      <a:pt x="715" y="1223"/>
                    </a:lnTo>
                    <a:lnTo>
                      <a:pt x="706" y="1223"/>
                    </a:lnTo>
                    <a:lnTo>
                      <a:pt x="706" y="1223"/>
                    </a:lnTo>
                    <a:lnTo>
                      <a:pt x="706" y="1223"/>
                    </a:lnTo>
                    <a:lnTo>
                      <a:pt x="697" y="1223"/>
                    </a:lnTo>
                    <a:lnTo>
                      <a:pt x="697" y="1214"/>
                    </a:lnTo>
                    <a:lnTo>
                      <a:pt x="697" y="1214"/>
                    </a:lnTo>
                    <a:lnTo>
                      <a:pt x="688" y="1214"/>
                    </a:lnTo>
                    <a:lnTo>
                      <a:pt x="688" y="1214"/>
                    </a:lnTo>
                    <a:lnTo>
                      <a:pt x="679" y="1214"/>
                    </a:lnTo>
                    <a:lnTo>
                      <a:pt x="679" y="1214"/>
                    </a:lnTo>
                    <a:lnTo>
                      <a:pt x="679" y="1214"/>
                    </a:lnTo>
                    <a:lnTo>
                      <a:pt x="679" y="1214"/>
                    </a:lnTo>
                    <a:lnTo>
                      <a:pt x="670" y="1214"/>
                    </a:lnTo>
                    <a:lnTo>
                      <a:pt x="670" y="1214"/>
                    </a:lnTo>
                    <a:lnTo>
                      <a:pt x="670" y="1214"/>
                    </a:lnTo>
                    <a:lnTo>
                      <a:pt x="661" y="1214"/>
                    </a:lnTo>
                    <a:lnTo>
                      <a:pt x="661" y="1214"/>
                    </a:lnTo>
                    <a:lnTo>
                      <a:pt x="661" y="1223"/>
                    </a:lnTo>
                    <a:lnTo>
                      <a:pt x="661" y="1223"/>
                    </a:lnTo>
                    <a:lnTo>
                      <a:pt x="661" y="1223"/>
                    </a:lnTo>
                    <a:lnTo>
                      <a:pt x="661" y="1232"/>
                    </a:lnTo>
                    <a:lnTo>
                      <a:pt x="661" y="1232"/>
                    </a:lnTo>
                    <a:lnTo>
                      <a:pt x="653" y="1241"/>
                    </a:lnTo>
                    <a:lnTo>
                      <a:pt x="653" y="1241"/>
                    </a:lnTo>
                    <a:lnTo>
                      <a:pt x="653" y="1241"/>
                    </a:lnTo>
                    <a:lnTo>
                      <a:pt x="653" y="1250"/>
                    </a:lnTo>
                    <a:lnTo>
                      <a:pt x="644" y="1250"/>
                    </a:lnTo>
                    <a:lnTo>
                      <a:pt x="644" y="1250"/>
                    </a:lnTo>
                    <a:lnTo>
                      <a:pt x="644" y="1241"/>
                    </a:lnTo>
                    <a:lnTo>
                      <a:pt x="635" y="1241"/>
                    </a:lnTo>
                    <a:lnTo>
                      <a:pt x="635" y="1241"/>
                    </a:lnTo>
                    <a:lnTo>
                      <a:pt x="635" y="1232"/>
                    </a:lnTo>
                    <a:lnTo>
                      <a:pt x="635" y="1232"/>
                    </a:lnTo>
                    <a:lnTo>
                      <a:pt x="626" y="1232"/>
                    </a:lnTo>
                    <a:lnTo>
                      <a:pt x="626" y="1232"/>
                    </a:lnTo>
                    <a:lnTo>
                      <a:pt x="626" y="1223"/>
                    </a:lnTo>
                    <a:lnTo>
                      <a:pt x="617" y="1223"/>
                    </a:lnTo>
                    <a:lnTo>
                      <a:pt x="617" y="1223"/>
                    </a:lnTo>
                    <a:lnTo>
                      <a:pt x="617" y="1223"/>
                    </a:lnTo>
                    <a:lnTo>
                      <a:pt x="617" y="1214"/>
                    </a:lnTo>
                    <a:lnTo>
                      <a:pt x="608" y="1214"/>
                    </a:lnTo>
                    <a:lnTo>
                      <a:pt x="608" y="1214"/>
                    </a:lnTo>
                    <a:lnTo>
                      <a:pt x="608" y="1214"/>
                    </a:lnTo>
                    <a:lnTo>
                      <a:pt x="599" y="1205"/>
                    </a:lnTo>
                    <a:lnTo>
                      <a:pt x="599" y="1205"/>
                    </a:lnTo>
                    <a:lnTo>
                      <a:pt x="599" y="1205"/>
                    </a:lnTo>
                    <a:lnTo>
                      <a:pt x="590" y="1205"/>
                    </a:lnTo>
                    <a:lnTo>
                      <a:pt x="590" y="1196"/>
                    </a:lnTo>
                    <a:lnTo>
                      <a:pt x="590" y="1196"/>
                    </a:lnTo>
                    <a:lnTo>
                      <a:pt x="590" y="1196"/>
                    </a:lnTo>
                    <a:lnTo>
                      <a:pt x="581" y="1187"/>
                    </a:lnTo>
                    <a:lnTo>
                      <a:pt x="581" y="1187"/>
                    </a:lnTo>
                    <a:lnTo>
                      <a:pt x="581" y="1178"/>
                    </a:lnTo>
                    <a:lnTo>
                      <a:pt x="581" y="1178"/>
                    </a:lnTo>
                    <a:lnTo>
                      <a:pt x="581" y="1169"/>
                    </a:lnTo>
                    <a:lnTo>
                      <a:pt x="581" y="1169"/>
                    </a:lnTo>
                    <a:lnTo>
                      <a:pt x="581" y="1160"/>
                    </a:lnTo>
                    <a:lnTo>
                      <a:pt x="572" y="1160"/>
                    </a:lnTo>
                    <a:lnTo>
                      <a:pt x="572" y="1160"/>
                    </a:lnTo>
                    <a:lnTo>
                      <a:pt x="572" y="1160"/>
                    </a:lnTo>
                    <a:lnTo>
                      <a:pt x="563" y="1151"/>
                    </a:lnTo>
                    <a:lnTo>
                      <a:pt x="563" y="1151"/>
                    </a:lnTo>
                    <a:lnTo>
                      <a:pt x="554" y="1151"/>
                    </a:lnTo>
                    <a:lnTo>
                      <a:pt x="554" y="1151"/>
                    </a:lnTo>
                    <a:lnTo>
                      <a:pt x="545" y="1151"/>
                    </a:lnTo>
                    <a:lnTo>
                      <a:pt x="545" y="1151"/>
                    </a:lnTo>
                    <a:lnTo>
                      <a:pt x="545" y="1143"/>
                    </a:lnTo>
                    <a:lnTo>
                      <a:pt x="545" y="1143"/>
                    </a:lnTo>
                    <a:lnTo>
                      <a:pt x="536" y="1143"/>
                    </a:lnTo>
                    <a:lnTo>
                      <a:pt x="536" y="1134"/>
                    </a:lnTo>
                    <a:lnTo>
                      <a:pt x="536" y="1134"/>
                    </a:lnTo>
                    <a:lnTo>
                      <a:pt x="536" y="1134"/>
                    </a:lnTo>
                    <a:lnTo>
                      <a:pt x="536" y="1125"/>
                    </a:lnTo>
                    <a:lnTo>
                      <a:pt x="527" y="1125"/>
                    </a:lnTo>
                    <a:lnTo>
                      <a:pt x="527" y="1125"/>
                    </a:lnTo>
                    <a:lnTo>
                      <a:pt x="527" y="1134"/>
                    </a:lnTo>
                    <a:lnTo>
                      <a:pt x="519" y="1134"/>
                    </a:lnTo>
                    <a:lnTo>
                      <a:pt x="519" y="1134"/>
                    </a:lnTo>
                    <a:lnTo>
                      <a:pt x="519" y="1134"/>
                    </a:lnTo>
                    <a:lnTo>
                      <a:pt x="510" y="1143"/>
                    </a:lnTo>
                    <a:lnTo>
                      <a:pt x="510" y="1143"/>
                    </a:lnTo>
                    <a:lnTo>
                      <a:pt x="510" y="1143"/>
                    </a:lnTo>
                    <a:lnTo>
                      <a:pt x="501" y="1143"/>
                    </a:lnTo>
                    <a:lnTo>
                      <a:pt x="501" y="1143"/>
                    </a:lnTo>
                    <a:lnTo>
                      <a:pt x="501" y="1143"/>
                    </a:lnTo>
                    <a:lnTo>
                      <a:pt x="492" y="1143"/>
                    </a:lnTo>
                    <a:lnTo>
                      <a:pt x="492" y="1143"/>
                    </a:lnTo>
                    <a:lnTo>
                      <a:pt x="492" y="1143"/>
                    </a:lnTo>
                    <a:lnTo>
                      <a:pt x="483" y="1143"/>
                    </a:lnTo>
                    <a:lnTo>
                      <a:pt x="483" y="1143"/>
                    </a:lnTo>
                    <a:lnTo>
                      <a:pt x="483" y="1143"/>
                    </a:lnTo>
                    <a:lnTo>
                      <a:pt x="483" y="1134"/>
                    </a:lnTo>
                    <a:lnTo>
                      <a:pt x="474" y="1134"/>
                    </a:lnTo>
                    <a:lnTo>
                      <a:pt x="474" y="1134"/>
                    </a:lnTo>
                    <a:lnTo>
                      <a:pt x="474" y="1125"/>
                    </a:lnTo>
                    <a:lnTo>
                      <a:pt x="474" y="1125"/>
                    </a:lnTo>
                    <a:lnTo>
                      <a:pt x="474" y="1125"/>
                    </a:lnTo>
                    <a:lnTo>
                      <a:pt x="465" y="1125"/>
                    </a:lnTo>
                    <a:lnTo>
                      <a:pt x="465" y="1125"/>
                    </a:lnTo>
                    <a:lnTo>
                      <a:pt x="465" y="1116"/>
                    </a:lnTo>
                    <a:lnTo>
                      <a:pt x="465" y="1116"/>
                    </a:lnTo>
                    <a:lnTo>
                      <a:pt x="456" y="1116"/>
                    </a:lnTo>
                    <a:lnTo>
                      <a:pt x="456" y="1125"/>
                    </a:lnTo>
                    <a:lnTo>
                      <a:pt x="456" y="1125"/>
                    </a:lnTo>
                    <a:lnTo>
                      <a:pt x="456" y="1125"/>
                    </a:lnTo>
                    <a:lnTo>
                      <a:pt x="447" y="1125"/>
                    </a:lnTo>
                    <a:lnTo>
                      <a:pt x="447" y="1125"/>
                    </a:lnTo>
                    <a:lnTo>
                      <a:pt x="447" y="1125"/>
                    </a:lnTo>
                    <a:lnTo>
                      <a:pt x="438" y="1125"/>
                    </a:lnTo>
                    <a:lnTo>
                      <a:pt x="438" y="1125"/>
                    </a:lnTo>
                    <a:lnTo>
                      <a:pt x="429" y="1125"/>
                    </a:lnTo>
                    <a:lnTo>
                      <a:pt x="429" y="1125"/>
                    </a:lnTo>
                    <a:lnTo>
                      <a:pt x="429" y="1125"/>
                    </a:lnTo>
                    <a:lnTo>
                      <a:pt x="420" y="1125"/>
                    </a:lnTo>
                    <a:lnTo>
                      <a:pt x="420" y="1125"/>
                    </a:lnTo>
                    <a:lnTo>
                      <a:pt x="420" y="1134"/>
                    </a:lnTo>
                    <a:lnTo>
                      <a:pt x="420" y="1134"/>
                    </a:lnTo>
                    <a:lnTo>
                      <a:pt x="420" y="1134"/>
                    </a:lnTo>
                    <a:lnTo>
                      <a:pt x="411" y="1134"/>
                    </a:lnTo>
                    <a:lnTo>
                      <a:pt x="411" y="1134"/>
                    </a:lnTo>
                    <a:lnTo>
                      <a:pt x="411" y="1143"/>
                    </a:lnTo>
                    <a:lnTo>
                      <a:pt x="411" y="1143"/>
                    </a:lnTo>
                    <a:lnTo>
                      <a:pt x="411" y="1143"/>
                    </a:lnTo>
                    <a:lnTo>
                      <a:pt x="402" y="1143"/>
                    </a:lnTo>
                    <a:lnTo>
                      <a:pt x="402" y="1143"/>
                    </a:lnTo>
                    <a:lnTo>
                      <a:pt x="402" y="1143"/>
                    </a:lnTo>
                    <a:lnTo>
                      <a:pt x="394" y="1143"/>
                    </a:lnTo>
                    <a:lnTo>
                      <a:pt x="394" y="1143"/>
                    </a:lnTo>
                    <a:lnTo>
                      <a:pt x="394" y="1143"/>
                    </a:lnTo>
                    <a:lnTo>
                      <a:pt x="394" y="1143"/>
                    </a:lnTo>
                    <a:lnTo>
                      <a:pt x="385" y="1134"/>
                    </a:lnTo>
                    <a:lnTo>
                      <a:pt x="385" y="1134"/>
                    </a:lnTo>
                    <a:lnTo>
                      <a:pt x="385" y="1125"/>
                    </a:lnTo>
                    <a:lnTo>
                      <a:pt x="385" y="1125"/>
                    </a:lnTo>
                    <a:lnTo>
                      <a:pt x="385" y="1116"/>
                    </a:lnTo>
                    <a:lnTo>
                      <a:pt x="385" y="1116"/>
                    </a:lnTo>
                    <a:lnTo>
                      <a:pt x="385" y="1116"/>
                    </a:lnTo>
                    <a:lnTo>
                      <a:pt x="376" y="1107"/>
                    </a:lnTo>
                    <a:lnTo>
                      <a:pt x="376" y="1107"/>
                    </a:lnTo>
                    <a:lnTo>
                      <a:pt x="376" y="1107"/>
                    </a:lnTo>
                    <a:lnTo>
                      <a:pt x="367" y="1107"/>
                    </a:lnTo>
                    <a:lnTo>
                      <a:pt x="367" y="1107"/>
                    </a:lnTo>
                    <a:lnTo>
                      <a:pt x="367" y="1107"/>
                    </a:lnTo>
                    <a:lnTo>
                      <a:pt x="367" y="1107"/>
                    </a:lnTo>
                    <a:lnTo>
                      <a:pt x="358" y="1107"/>
                    </a:lnTo>
                    <a:lnTo>
                      <a:pt x="358" y="1107"/>
                    </a:lnTo>
                    <a:lnTo>
                      <a:pt x="358" y="1107"/>
                    </a:lnTo>
                    <a:lnTo>
                      <a:pt x="349" y="1107"/>
                    </a:lnTo>
                    <a:lnTo>
                      <a:pt x="349" y="1116"/>
                    </a:lnTo>
                    <a:lnTo>
                      <a:pt x="349" y="1116"/>
                    </a:lnTo>
                    <a:lnTo>
                      <a:pt x="340" y="1116"/>
                    </a:lnTo>
                    <a:lnTo>
                      <a:pt x="340" y="1116"/>
                    </a:lnTo>
                    <a:lnTo>
                      <a:pt x="340" y="1116"/>
                    </a:lnTo>
                    <a:lnTo>
                      <a:pt x="331" y="1116"/>
                    </a:lnTo>
                    <a:lnTo>
                      <a:pt x="331" y="1116"/>
                    </a:lnTo>
                    <a:lnTo>
                      <a:pt x="322" y="1116"/>
                    </a:lnTo>
                    <a:lnTo>
                      <a:pt x="322" y="1116"/>
                    </a:lnTo>
                    <a:lnTo>
                      <a:pt x="322" y="1116"/>
                    </a:lnTo>
                    <a:lnTo>
                      <a:pt x="322" y="1107"/>
                    </a:lnTo>
                    <a:lnTo>
                      <a:pt x="313" y="1107"/>
                    </a:lnTo>
                    <a:lnTo>
                      <a:pt x="313" y="1107"/>
                    </a:lnTo>
                    <a:lnTo>
                      <a:pt x="313" y="1107"/>
                    </a:lnTo>
                    <a:lnTo>
                      <a:pt x="304" y="1107"/>
                    </a:lnTo>
                    <a:lnTo>
                      <a:pt x="304" y="1098"/>
                    </a:lnTo>
                    <a:lnTo>
                      <a:pt x="304" y="1098"/>
                    </a:lnTo>
                    <a:lnTo>
                      <a:pt x="295" y="1098"/>
                    </a:lnTo>
                    <a:lnTo>
                      <a:pt x="295" y="1098"/>
                    </a:lnTo>
                    <a:lnTo>
                      <a:pt x="295" y="1098"/>
                    </a:lnTo>
                    <a:lnTo>
                      <a:pt x="286" y="1089"/>
                    </a:lnTo>
                    <a:lnTo>
                      <a:pt x="286" y="1089"/>
                    </a:lnTo>
                    <a:lnTo>
                      <a:pt x="286" y="1089"/>
                    </a:lnTo>
                    <a:lnTo>
                      <a:pt x="286" y="1089"/>
                    </a:lnTo>
                    <a:lnTo>
                      <a:pt x="277" y="1089"/>
                    </a:lnTo>
                    <a:lnTo>
                      <a:pt x="277" y="1089"/>
                    </a:lnTo>
                    <a:lnTo>
                      <a:pt x="277" y="1089"/>
                    </a:lnTo>
                    <a:lnTo>
                      <a:pt x="277" y="1089"/>
                    </a:lnTo>
                    <a:lnTo>
                      <a:pt x="268" y="1089"/>
                    </a:lnTo>
                    <a:lnTo>
                      <a:pt x="268" y="1089"/>
                    </a:lnTo>
                    <a:lnTo>
                      <a:pt x="268" y="1089"/>
                    </a:lnTo>
                    <a:lnTo>
                      <a:pt x="268" y="1089"/>
                    </a:lnTo>
                    <a:lnTo>
                      <a:pt x="268" y="1080"/>
                    </a:lnTo>
                    <a:lnTo>
                      <a:pt x="268" y="1080"/>
                    </a:lnTo>
                    <a:lnTo>
                      <a:pt x="268" y="1080"/>
                    </a:lnTo>
                    <a:lnTo>
                      <a:pt x="268" y="1080"/>
                    </a:lnTo>
                    <a:lnTo>
                      <a:pt x="268" y="1080"/>
                    </a:lnTo>
                    <a:lnTo>
                      <a:pt x="268" y="1071"/>
                    </a:lnTo>
                    <a:lnTo>
                      <a:pt x="268" y="1071"/>
                    </a:lnTo>
                    <a:lnTo>
                      <a:pt x="268" y="1071"/>
                    </a:lnTo>
                    <a:lnTo>
                      <a:pt x="268" y="1062"/>
                    </a:lnTo>
                    <a:lnTo>
                      <a:pt x="268" y="1062"/>
                    </a:lnTo>
                    <a:lnTo>
                      <a:pt x="268" y="1062"/>
                    </a:lnTo>
                    <a:lnTo>
                      <a:pt x="260" y="1053"/>
                    </a:lnTo>
                    <a:lnTo>
                      <a:pt x="260" y="1053"/>
                    </a:lnTo>
                    <a:lnTo>
                      <a:pt x="260" y="1053"/>
                    </a:lnTo>
                    <a:lnTo>
                      <a:pt x="260" y="1044"/>
                    </a:lnTo>
                    <a:lnTo>
                      <a:pt x="260" y="1044"/>
                    </a:lnTo>
                    <a:lnTo>
                      <a:pt x="260" y="1035"/>
                    </a:lnTo>
                    <a:lnTo>
                      <a:pt x="251" y="1035"/>
                    </a:lnTo>
                    <a:lnTo>
                      <a:pt x="251" y="1035"/>
                    </a:lnTo>
                    <a:lnTo>
                      <a:pt x="251" y="1026"/>
                    </a:lnTo>
                    <a:lnTo>
                      <a:pt x="242" y="1026"/>
                    </a:lnTo>
                    <a:lnTo>
                      <a:pt x="242" y="1026"/>
                    </a:lnTo>
                    <a:lnTo>
                      <a:pt x="242" y="1026"/>
                    </a:lnTo>
                    <a:lnTo>
                      <a:pt x="233" y="1026"/>
                    </a:lnTo>
                    <a:lnTo>
                      <a:pt x="233" y="1026"/>
                    </a:lnTo>
                    <a:lnTo>
                      <a:pt x="224" y="1026"/>
                    </a:lnTo>
                    <a:lnTo>
                      <a:pt x="224" y="1026"/>
                    </a:lnTo>
                    <a:lnTo>
                      <a:pt x="215" y="1026"/>
                    </a:lnTo>
                    <a:lnTo>
                      <a:pt x="215" y="1026"/>
                    </a:lnTo>
                    <a:lnTo>
                      <a:pt x="206" y="1026"/>
                    </a:lnTo>
                    <a:lnTo>
                      <a:pt x="206" y="1026"/>
                    </a:lnTo>
                    <a:lnTo>
                      <a:pt x="197" y="1026"/>
                    </a:lnTo>
                    <a:lnTo>
                      <a:pt x="197" y="1035"/>
                    </a:lnTo>
                    <a:lnTo>
                      <a:pt x="197" y="1035"/>
                    </a:lnTo>
                    <a:lnTo>
                      <a:pt x="197" y="1035"/>
                    </a:lnTo>
                    <a:lnTo>
                      <a:pt x="197" y="1035"/>
                    </a:lnTo>
                    <a:lnTo>
                      <a:pt x="188" y="1044"/>
                    </a:lnTo>
                    <a:lnTo>
                      <a:pt x="188" y="1044"/>
                    </a:lnTo>
                    <a:lnTo>
                      <a:pt x="188" y="1044"/>
                    </a:lnTo>
                    <a:lnTo>
                      <a:pt x="179" y="1044"/>
                    </a:lnTo>
                    <a:lnTo>
                      <a:pt x="179" y="1053"/>
                    </a:lnTo>
                    <a:lnTo>
                      <a:pt x="179" y="1053"/>
                    </a:lnTo>
                    <a:lnTo>
                      <a:pt x="170" y="1053"/>
                    </a:lnTo>
                    <a:lnTo>
                      <a:pt x="170" y="1053"/>
                    </a:lnTo>
                    <a:lnTo>
                      <a:pt x="170" y="1053"/>
                    </a:lnTo>
                    <a:lnTo>
                      <a:pt x="161" y="1053"/>
                    </a:lnTo>
                    <a:lnTo>
                      <a:pt x="161" y="1053"/>
                    </a:lnTo>
                    <a:lnTo>
                      <a:pt x="161" y="1053"/>
                    </a:lnTo>
                    <a:lnTo>
                      <a:pt x="152" y="1044"/>
                    </a:lnTo>
                    <a:lnTo>
                      <a:pt x="152" y="1044"/>
                    </a:lnTo>
                    <a:lnTo>
                      <a:pt x="152" y="1044"/>
                    </a:lnTo>
                    <a:lnTo>
                      <a:pt x="143" y="1035"/>
                    </a:lnTo>
                    <a:lnTo>
                      <a:pt x="143" y="1035"/>
                    </a:lnTo>
                    <a:lnTo>
                      <a:pt x="143" y="1035"/>
                    </a:lnTo>
                    <a:lnTo>
                      <a:pt x="134" y="1035"/>
                    </a:lnTo>
                    <a:lnTo>
                      <a:pt x="134" y="1035"/>
                    </a:lnTo>
                    <a:lnTo>
                      <a:pt x="126" y="1026"/>
                    </a:lnTo>
                    <a:lnTo>
                      <a:pt x="126" y="1026"/>
                    </a:lnTo>
                    <a:lnTo>
                      <a:pt x="117" y="1026"/>
                    </a:lnTo>
                    <a:lnTo>
                      <a:pt x="108" y="1026"/>
                    </a:lnTo>
                    <a:lnTo>
                      <a:pt x="108" y="1026"/>
                    </a:lnTo>
                    <a:lnTo>
                      <a:pt x="99" y="1026"/>
                    </a:lnTo>
                    <a:lnTo>
                      <a:pt x="99" y="1026"/>
                    </a:lnTo>
                    <a:lnTo>
                      <a:pt x="90" y="1026"/>
                    </a:lnTo>
                    <a:lnTo>
                      <a:pt x="90" y="1026"/>
                    </a:lnTo>
                    <a:lnTo>
                      <a:pt x="81" y="1026"/>
                    </a:lnTo>
                    <a:lnTo>
                      <a:pt x="81" y="1026"/>
                    </a:lnTo>
                    <a:lnTo>
                      <a:pt x="72" y="1026"/>
                    </a:lnTo>
                    <a:lnTo>
                      <a:pt x="72" y="1026"/>
                    </a:lnTo>
                    <a:lnTo>
                      <a:pt x="72" y="1018"/>
                    </a:lnTo>
                    <a:lnTo>
                      <a:pt x="63" y="1018"/>
                    </a:lnTo>
                    <a:lnTo>
                      <a:pt x="63" y="1018"/>
                    </a:lnTo>
                    <a:lnTo>
                      <a:pt x="63" y="1009"/>
                    </a:lnTo>
                    <a:lnTo>
                      <a:pt x="63" y="1009"/>
                    </a:lnTo>
                    <a:lnTo>
                      <a:pt x="63" y="1000"/>
                    </a:lnTo>
                    <a:lnTo>
                      <a:pt x="54" y="1000"/>
                    </a:lnTo>
                    <a:lnTo>
                      <a:pt x="54" y="1000"/>
                    </a:lnTo>
                    <a:lnTo>
                      <a:pt x="54" y="991"/>
                    </a:lnTo>
                    <a:lnTo>
                      <a:pt x="54" y="991"/>
                    </a:lnTo>
                    <a:lnTo>
                      <a:pt x="54" y="982"/>
                    </a:lnTo>
                    <a:lnTo>
                      <a:pt x="54" y="973"/>
                    </a:lnTo>
                    <a:lnTo>
                      <a:pt x="54" y="973"/>
                    </a:lnTo>
                    <a:lnTo>
                      <a:pt x="54" y="964"/>
                    </a:lnTo>
                    <a:lnTo>
                      <a:pt x="54" y="964"/>
                    </a:lnTo>
                    <a:lnTo>
                      <a:pt x="45" y="955"/>
                    </a:lnTo>
                    <a:lnTo>
                      <a:pt x="45" y="955"/>
                    </a:lnTo>
                    <a:lnTo>
                      <a:pt x="45" y="955"/>
                    </a:lnTo>
                    <a:lnTo>
                      <a:pt x="45" y="946"/>
                    </a:lnTo>
                    <a:lnTo>
                      <a:pt x="54" y="946"/>
                    </a:lnTo>
                    <a:lnTo>
                      <a:pt x="54" y="946"/>
                    </a:lnTo>
                    <a:lnTo>
                      <a:pt x="63" y="937"/>
                    </a:lnTo>
                    <a:lnTo>
                      <a:pt x="72" y="937"/>
                    </a:lnTo>
                    <a:lnTo>
                      <a:pt x="72" y="937"/>
                    </a:lnTo>
                    <a:lnTo>
                      <a:pt x="72" y="937"/>
                    </a:lnTo>
                    <a:lnTo>
                      <a:pt x="90" y="901"/>
                    </a:lnTo>
                    <a:lnTo>
                      <a:pt x="90" y="848"/>
                    </a:lnTo>
                    <a:lnTo>
                      <a:pt x="81" y="821"/>
                    </a:lnTo>
                    <a:lnTo>
                      <a:pt x="72" y="803"/>
                    </a:lnTo>
                    <a:lnTo>
                      <a:pt x="54" y="803"/>
                    </a:lnTo>
                    <a:lnTo>
                      <a:pt x="36" y="794"/>
                    </a:lnTo>
                    <a:lnTo>
                      <a:pt x="9" y="785"/>
                    </a:lnTo>
                    <a:lnTo>
                      <a:pt x="0" y="750"/>
                    </a:lnTo>
                    <a:lnTo>
                      <a:pt x="9" y="714"/>
                    </a:lnTo>
                    <a:lnTo>
                      <a:pt x="18" y="696"/>
                    </a:lnTo>
                    <a:lnTo>
                      <a:pt x="45" y="678"/>
                    </a:lnTo>
                    <a:lnTo>
                      <a:pt x="63" y="660"/>
                    </a:lnTo>
                    <a:lnTo>
                      <a:pt x="63" y="651"/>
                    </a:lnTo>
                    <a:lnTo>
                      <a:pt x="63" y="634"/>
                    </a:lnTo>
                    <a:lnTo>
                      <a:pt x="54" y="616"/>
                    </a:lnTo>
                    <a:lnTo>
                      <a:pt x="63" y="607"/>
                    </a:lnTo>
                    <a:lnTo>
                      <a:pt x="72" y="598"/>
                    </a:lnTo>
                    <a:lnTo>
                      <a:pt x="90" y="562"/>
                    </a:lnTo>
                    <a:lnTo>
                      <a:pt x="99" y="544"/>
                    </a:lnTo>
                    <a:lnTo>
                      <a:pt x="117" y="535"/>
                    </a:lnTo>
                    <a:lnTo>
                      <a:pt x="108" y="509"/>
                    </a:lnTo>
                    <a:lnTo>
                      <a:pt x="126" y="509"/>
                    </a:lnTo>
                    <a:lnTo>
                      <a:pt x="126" y="482"/>
                    </a:lnTo>
                    <a:lnTo>
                      <a:pt x="134" y="455"/>
                    </a:lnTo>
                    <a:lnTo>
                      <a:pt x="152" y="428"/>
                    </a:lnTo>
                    <a:lnTo>
                      <a:pt x="152" y="384"/>
                    </a:lnTo>
                    <a:lnTo>
                      <a:pt x="152" y="357"/>
                    </a:lnTo>
                    <a:lnTo>
                      <a:pt x="161" y="321"/>
                    </a:lnTo>
                    <a:lnTo>
                      <a:pt x="161" y="303"/>
                    </a:lnTo>
                    <a:lnTo>
                      <a:pt x="179" y="285"/>
                    </a:lnTo>
                    <a:lnTo>
                      <a:pt x="206" y="276"/>
                    </a:lnTo>
                    <a:lnTo>
                      <a:pt x="233" y="259"/>
                    </a:lnTo>
                    <a:lnTo>
                      <a:pt x="242" y="250"/>
                    </a:lnTo>
                    <a:lnTo>
                      <a:pt x="251" y="232"/>
                    </a:lnTo>
                    <a:lnTo>
                      <a:pt x="268" y="241"/>
                    </a:lnTo>
                    <a:lnTo>
                      <a:pt x="295" y="250"/>
                    </a:lnTo>
                    <a:lnTo>
                      <a:pt x="313" y="250"/>
                    </a:lnTo>
                    <a:lnTo>
                      <a:pt x="322" y="241"/>
                    </a:lnTo>
                    <a:lnTo>
                      <a:pt x="322" y="223"/>
                    </a:lnTo>
                    <a:lnTo>
                      <a:pt x="340" y="223"/>
                    </a:lnTo>
                    <a:lnTo>
                      <a:pt x="331" y="196"/>
                    </a:lnTo>
                    <a:lnTo>
                      <a:pt x="322" y="178"/>
                    </a:lnTo>
                    <a:lnTo>
                      <a:pt x="322" y="160"/>
                    </a:lnTo>
                    <a:lnTo>
                      <a:pt x="331" y="151"/>
                    </a:lnTo>
                    <a:lnTo>
                      <a:pt x="340" y="142"/>
                    </a:lnTo>
                    <a:lnTo>
                      <a:pt x="358" y="151"/>
                    </a:lnTo>
                    <a:lnTo>
                      <a:pt x="376" y="151"/>
                    </a:lnTo>
                    <a:lnTo>
                      <a:pt x="394" y="151"/>
                    </a:lnTo>
                    <a:lnTo>
                      <a:pt x="394" y="142"/>
                    </a:lnTo>
                    <a:lnTo>
                      <a:pt x="394" y="133"/>
                    </a:lnTo>
                    <a:lnTo>
                      <a:pt x="411" y="116"/>
                    </a:lnTo>
                    <a:lnTo>
                      <a:pt x="429" y="116"/>
                    </a:lnTo>
                    <a:lnTo>
                      <a:pt x="438" y="116"/>
                    </a:lnTo>
                    <a:lnTo>
                      <a:pt x="447" y="98"/>
                    </a:lnTo>
                    <a:lnTo>
                      <a:pt x="465" y="89"/>
                    </a:lnTo>
                    <a:lnTo>
                      <a:pt x="465" y="80"/>
                    </a:lnTo>
                    <a:lnTo>
                      <a:pt x="474" y="53"/>
                    </a:lnTo>
                    <a:lnTo>
                      <a:pt x="474" y="35"/>
                    </a:lnTo>
                    <a:lnTo>
                      <a:pt x="483" y="17"/>
                    </a:lnTo>
                    <a:lnTo>
                      <a:pt x="501" y="0"/>
                    </a:lnTo>
                    <a:lnTo>
                      <a:pt x="519" y="0"/>
                    </a:lnTo>
                    <a:lnTo>
                      <a:pt x="536" y="0"/>
                    </a:lnTo>
                    <a:lnTo>
                      <a:pt x="536" y="17"/>
                    </a:lnTo>
                    <a:lnTo>
                      <a:pt x="545" y="35"/>
                    </a:lnTo>
                    <a:lnTo>
                      <a:pt x="536" y="53"/>
                    </a:lnTo>
                    <a:lnTo>
                      <a:pt x="545" y="71"/>
                    </a:lnTo>
                    <a:lnTo>
                      <a:pt x="545" y="98"/>
                    </a:lnTo>
                    <a:lnTo>
                      <a:pt x="545" y="107"/>
                    </a:lnTo>
                    <a:lnTo>
                      <a:pt x="554" y="116"/>
                    </a:lnTo>
                    <a:lnTo>
                      <a:pt x="563" y="125"/>
                    </a:lnTo>
                    <a:lnTo>
                      <a:pt x="581" y="116"/>
                    </a:lnTo>
                    <a:lnTo>
                      <a:pt x="581" y="125"/>
                    </a:lnTo>
                    <a:lnTo>
                      <a:pt x="590" y="133"/>
                    </a:lnTo>
                    <a:lnTo>
                      <a:pt x="599" y="142"/>
                    </a:lnTo>
                    <a:lnTo>
                      <a:pt x="626" y="142"/>
                    </a:lnTo>
                    <a:lnTo>
                      <a:pt x="644" y="142"/>
                    </a:lnTo>
                    <a:lnTo>
                      <a:pt x="653" y="151"/>
                    </a:lnTo>
                    <a:lnTo>
                      <a:pt x="661" y="169"/>
                    </a:lnTo>
                    <a:lnTo>
                      <a:pt x="679" y="187"/>
                    </a:lnTo>
                  </a:path>
                </a:pathLst>
              </a:custGeom>
              <a:solidFill>
                <a:schemeClr val="accent6">
                  <a:lumMod val="75000"/>
                </a:schemeClr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39" name="Freeform 62">
                <a:extLst>
                  <a:ext uri="{FF2B5EF4-FFF2-40B4-BE49-F238E27FC236}">
                    <a16:creationId xmlns:a16="http://schemas.microsoft.com/office/drawing/2014/main" id="{00000000-0008-0000-0C00-000027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919" y="7219"/>
                <a:ext cx="2082" cy="1737"/>
              </a:xfrm>
              <a:custGeom>
                <a:avLst/>
                <a:gdLst>
                  <a:gd name="T0" fmla="*/ 893 w 938"/>
                  <a:gd name="T1" fmla="*/ 527 h 732"/>
                  <a:gd name="T2" fmla="*/ 938 w 938"/>
                  <a:gd name="T3" fmla="*/ 464 h 732"/>
                  <a:gd name="T4" fmla="*/ 902 w 938"/>
                  <a:gd name="T5" fmla="*/ 464 h 732"/>
                  <a:gd name="T6" fmla="*/ 804 w 938"/>
                  <a:gd name="T7" fmla="*/ 447 h 732"/>
                  <a:gd name="T8" fmla="*/ 777 w 938"/>
                  <a:gd name="T9" fmla="*/ 411 h 732"/>
                  <a:gd name="T10" fmla="*/ 831 w 938"/>
                  <a:gd name="T11" fmla="*/ 330 h 732"/>
                  <a:gd name="T12" fmla="*/ 777 w 938"/>
                  <a:gd name="T13" fmla="*/ 304 h 732"/>
                  <a:gd name="T14" fmla="*/ 741 w 938"/>
                  <a:gd name="T15" fmla="*/ 277 h 732"/>
                  <a:gd name="T16" fmla="*/ 670 w 938"/>
                  <a:gd name="T17" fmla="*/ 259 h 732"/>
                  <a:gd name="T18" fmla="*/ 643 w 938"/>
                  <a:gd name="T19" fmla="*/ 223 h 732"/>
                  <a:gd name="T20" fmla="*/ 616 w 938"/>
                  <a:gd name="T21" fmla="*/ 205 h 732"/>
                  <a:gd name="T22" fmla="*/ 652 w 938"/>
                  <a:gd name="T23" fmla="*/ 125 h 732"/>
                  <a:gd name="T24" fmla="*/ 661 w 938"/>
                  <a:gd name="T25" fmla="*/ 89 h 732"/>
                  <a:gd name="T26" fmla="*/ 616 w 938"/>
                  <a:gd name="T27" fmla="*/ 98 h 732"/>
                  <a:gd name="T28" fmla="*/ 598 w 938"/>
                  <a:gd name="T29" fmla="*/ 134 h 732"/>
                  <a:gd name="T30" fmla="*/ 572 w 938"/>
                  <a:gd name="T31" fmla="*/ 72 h 732"/>
                  <a:gd name="T32" fmla="*/ 554 w 938"/>
                  <a:gd name="T33" fmla="*/ 27 h 732"/>
                  <a:gd name="T34" fmla="*/ 518 w 938"/>
                  <a:gd name="T35" fmla="*/ 9 h 732"/>
                  <a:gd name="T36" fmla="*/ 464 w 938"/>
                  <a:gd name="T37" fmla="*/ 0 h 732"/>
                  <a:gd name="T38" fmla="*/ 402 w 938"/>
                  <a:gd name="T39" fmla="*/ 9 h 732"/>
                  <a:gd name="T40" fmla="*/ 420 w 938"/>
                  <a:gd name="T41" fmla="*/ 45 h 732"/>
                  <a:gd name="T42" fmla="*/ 455 w 938"/>
                  <a:gd name="T43" fmla="*/ 72 h 732"/>
                  <a:gd name="T44" fmla="*/ 438 w 938"/>
                  <a:gd name="T45" fmla="*/ 98 h 732"/>
                  <a:gd name="T46" fmla="*/ 402 w 938"/>
                  <a:gd name="T47" fmla="*/ 143 h 732"/>
                  <a:gd name="T48" fmla="*/ 357 w 938"/>
                  <a:gd name="T49" fmla="*/ 152 h 732"/>
                  <a:gd name="T50" fmla="*/ 295 w 938"/>
                  <a:gd name="T51" fmla="*/ 170 h 732"/>
                  <a:gd name="T52" fmla="*/ 223 w 938"/>
                  <a:gd name="T53" fmla="*/ 179 h 732"/>
                  <a:gd name="T54" fmla="*/ 232 w 938"/>
                  <a:gd name="T55" fmla="*/ 232 h 732"/>
                  <a:gd name="T56" fmla="*/ 241 w 938"/>
                  <a:gd name="T57" fmla="*/ 286 h 732"/>
                  <a:gd name="T58" fmla="*/ 214 w 938"/>
                  <a:gd name="T59" fmla="*/ 366 h 732"/>
                  <a:gd name="T60" fmla="*/ 178 w 938"/>
                  <a:gd name="T61" fmla="*/ 393 h 732"/>
                  <a:gd name="T62" fmla="*/ 196 w 938"/>
                  <a:gd name="T63" fmla="*/ 429 h 732"/>
                  <a:gd name="T64" fmla="*/ 178 w 938"/>
                  <a:gd name="T65" fmla="*/ 464 h 732"/>
                  <a:gd name="T66" fmla="*/ 178 w 938"/>
                  <a:gd name="T67" fmla="*/ 509 h 732"/>
                  <a:gd name="T68" fmla="*/ 116 w 938"/>
                  <a:gd name="T69" fmla="*/ 509 h 732"/>
                  <a:gd name="T70" fmla="*/ 80 w 938"/>
                  <a:gd name="T71" fmla="*/ 518 h 732"/>
                  <a:gd name="T72" fmla="*/ 53 w 938"/>
                  <a:gd name="T73" fmla="*/ 536 h 732"/>
                  <a:gd name="T74" fmla="*/ 18 w 938"/>
                  <a:gd name="T75" fmla="*/ 580 h 732"/>
                  <a:gd name="T76" fmla="*/ 0 w 938"/>
                  <a:gd name="T77" fmla="*/ 625 h 732"/>
                  <a:gd name="T78" fmla="*/ 36 w 938"/>
                  <a:gd name="T79" fmla="*/ 670 h 732"/>
                  <a:gd name="T80" fmla="*/ 36 w 938"/>
                  <a:gd name="T81" fmla="*/ 688 h 732"/>
                  <a:gd name="T82" fmla="*/ 62 w 938"/>
                  <a:gd name="T83" fmla="*/ 714 h 732"/>
                  <a:gd name="T84" fmla="*/ 134 w 938"/>
                  <a:gd name="T85" fmla="*/ 732 h 732"/>
                  <a:gd name="T86" fmla="*/ 214 w 938"/>
                  <a:gd name="T87" fmla="*/ 732 h 732"/>
                  <a:gd name="T88" fmla="*/ 295 w 938"/>
                  <a:gd name="T89" fmla="*/ 697 h 732"/>
                  <a:gd name="T90" fmla="*/ 330 w 938"/>
                  <a:gd name="T91" fmla="*/ 670 h 732"/>
                  <a:gd name="T92" fmla="*/ 348 w 938"/>
                  <a:gd name="T93" fmla="*/ 607 h 732"/>
                  <a:gd name="T94" fmla="*/ 366 w 938"/>
                  <a:gd name="T95" fmla="*/ 580 h 732"/>
                  <a:gd name="T96" fmla="*/ 411 w 938"/>
                  <a:gd name="T97" fmla="*/ 580 h 732"/>
                  <a:gd name="T98" fmla="*/ 420 w 938"/>
                  <a:gd name="T99" fmla="*/ 607 h 732"/>
                  <a:gd name="T100" fmla="*/ 455 w 938"/>
                  <a:gd name="T101" fmla="*/ 607 h 732"/>
                  <a:gd name="T102" fmla="*/ 527 w 938"/>
                  <a:gd name="T103" fmla="*/ 607 h 732"/>
                  <a:gd name="T104" fmla="*/ 563 w 938"/>
                  <a:gd name="T105" fmla="*/ 616 h 732"/>
                  <a:gd name="T106" fmla="*/ 589 w 938"/>
                  <a:gd name="T107" fmla="*/ 625 h 732"/>
                  <a:gd name="T108" fmla="*/ 616 w 938"/>
                  <a:gd name="T109" fmla="*/ 616 h 732"/>
                  <a:gd name="T110" fmla="*/ 616 w 938"/>
                  <a:gd name="T111" fmla="*/ 598 h 732"/>
                  <a:gd name="T112" fmla="*/ 625 w 938"/>
                  <a:gd name="T113" fmla="*/ 572 h 732"/>
                  <a:gd name="T114" fmla="*/ 652 w 938"/>
                  <a:gd name="T115" fmla="*/ 572 h 732"/>
                  <a:gd name="T116" fmla="*/ 679 w 938"/>
                  <a:gd name="T117" fmla="*/ 580 h 732"/>
                  <a:gd name="T118" fmla="*/ 697 w 938"/>
                  <a:gd name="T119" fmla="*/ 545 h 732"/>
                  <a:gd name="T120" fmla="*/ 741 w 938"/>
                  <a:gd name="T121" fmla="*/ 536 h 732"/>
                  <a:gd name="T122" fmla="*/ 795 w 938"/>
                  <a:gd name="T123" fmla="*/ 545 h 732"/>
                  <a:gd name="T124" fmla="*/ 831 w 938"/>
                  <a:gd name="T125" fmla="*/ 563 h 73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938" h="732">
                    <a:moveTo>
                      <a:pt x="848" y="580"/>
                    </a:moveTo>
                    <a:lnTo>
                      <a:pt x="848" y="580"/>
                    </a:lnTo>
                    <a:lnTo>
                      <a:pt x="848" y="580"/>
                    </a:lnTo>
                    <a:lnTo>
                      <a:pt x="857" y="580"/>
                    </a:lnTo>
                    <a:lnTo>
                      <a:pt x="857" y="580"/>
                    </a:lnTo>
                    <a:lnTo>
                      <a:pt x="857" y="580"/>
                    </a:lnTo>
                    <a:lnTo>
                      <a:pt x="857" y="580"/>
                    </a:lnTo>
                    <a:lnTo>
                      <a:pt x="857" y="580"/>
                    </a:lnTo>
                    <a:lnTo>
                      <a:pt x="866" y="580"/>
                    </a:lnTo>
                    <a:lnTo>
                      <a:pt x="866" y="572"/>
                    </a:lnTo>
                    <a:lnTo>
                      <a:pt x="866" y="572"/>
                    </a:lnTo>
                    <a:lnTo>
                      <a:pt x="866" y="572"/>
                    </a:lnTo>
                    <a:lnTo>
                      <a:pt x="866" y="563"/>
                    </a:lnTo>
                    <a:lnTo>
                      <a:pt x="866" y="563"/>
                    </a:lnTo>
                    <a:lnTo>
                      <a:pt x="866" y="563"/>
                    </a:lnTo>
                    <a:lnTo>
                      <a:pt x="866" y="554"/>
                    </a:lnTo>
                    <a:lnTo>
                      <a:pt x="866" y="554"/>
                    </a:lnTo>
                    <a:lnTo>
                      <a:pt x="866" y="554"/>
                    </a:lnTo>
                    <a:lnTo>
                      <a:pt x="875" y="545"/>
                    </a:lnTo>
                    <a:lnTo>
                      <a:pt x="875" y="545"/>
                    </a:lnTo>
                    <a:lnTo>
                      <a:pt x="875" y="545"/>
                    </a:lnTo>
                    <a:lnTo>
                      <a:pt x="884" y="536"/>
                    </a:lnTo>
                    <a:lnTo>
                      <a:pt x="884" y="536"/>
                    </a:lnTo>
                    <a:lnTo>
                      <a:pt x="884" y="536"/>
                    </a:lnTo>
                    <a:lnTo>
                      <a:pt x="893" y="536"/>
                    </a:lnTo>
                    <a:lnTo>
                      <a:pt x="893" y="527"/>
                    </a:lnTo>
                    <a:lnTo>
                      <a:pt x="893" y="527"/>
                    </a:lnTo>
                    <a:lnTo>
                      <a:pt x="893" y="527"/>
                    </a:lnTo>
                    <a:lnTo>
                      <a:pt x="893" y="527"/>
                    </a:lnTo>
                    <a:lnTo>
                      <a:pt x="884" y="518"/>
                    </a:lnTo>
                    <a:lnTo>
                      <a:pt x="884" y="518"/>
                    </a:lnTo>
                    <a:lnTo>
                      <a:pt x="884" y="518"/>
                    </a:lnTo>
                    <a:lnTo>
                      <a:pt x="893" y="518"/>
                    </a:lnTo>
                    <a:lnTo>
                      <a:pt x="893" y="518"/>
                    </a:lnTo>
                    <a:lnTo>
                      <a:pt x="893" y="509"/>
                    </a:lnTo>
                    <a:lnTo>
                      <a:pt x="893" y="509"/>
                    </a:lnTo>
                    <a:lnTo>
                      <a:pt x="893" y="509"/>
                    </a:lnTo>
                    <a:lnTo>
                      <a:pt x="893" y="509"/>
                    </a:lnTo>
                    <a:lnTo>
                      <a:pt x="902" y="509"/>
                    </a:lnTo>
                    <a:lnTo>
                      <a:pt x="902" y="509"/>
                    </a:lnTo>
                    <a:lnTo>
                      <a:pt x="902" y="500"/>
                    </a:lnTo>
                    <a:lnTo>
                      <a:pt x="911" y="500"/>
                    </a:lnTo>
                    <a:lnTo>
                      <a:pt x="911" y="500"/>
                    </a:lnTo>
                    <a:lnTo>
                      <a:pt x="911" y="491"/>
                    </a:lnTo>
                    <a:lnTo>
                      <a:pt x="920" y="491"/>
                    </a:lnTo>
                    <a:lnTo>
                      <a:pt x="920" y="491"/>
                    </a:lnTo>
                    <a:lnTo>
                      <a:pt x="920" y="482"/>
                    </a:lnTo>
                    <a:lnTo>
                      <a:pt x="929" y="482"/>
                    </a:lnTo>
                    <a:lnTo>
                      <a:pt x="929" y="473"/>
                    </a:lnTo>
                    <a:lnTo>
                      <a:pt x="929" y="473"/>
                    </a:lnTo>
                    <a:lnTo>
                      <a:pt x="929" y="473"/>
                    </a:lnTo>
                    <a:lnTo>
                      <a:pt x="938" y="473"/>
                    </a:lnTo>
                    <a:lnTo>
                      <a:pt x="938" y="473"/>
                    </a:lnTo>
                    <a:lnTo>
                      <a:pt x="938" y="464"/>
                    </a:lnTo>
                    <a:lnTo>
                      <a:pt x="938" y="464"/>
                    </a:lnTo>
                    <a:lnTo>
                      <a:pt x="938" y="464"/>
                    </a:lnTo>
                    <a:lnTo>
                      <a:pt x="938" y="464"/>
                    </a:lnTo>
                    <a:lnTo>
                      <a:pt x="938" y="464"/>
                    </a:lnTo>
                    <a:lnTo>
                      <a:pt x="938" y="464"/>
                    </a:lnTo>
                    <a:lnTo>
                      <a:pt x="938" y="464"/>
                    </a:lnTo>
                    <a:lnTo>
                      <a:pt x="938" y="464"/>
                    </a:lnTo>
                    <a:lnTo>
                      <a:pt x="938" y="464"/>
                    </a:lnTo>
                    <a:lnTo>
                      <a:pt x="938" y="464"/>
                    </a:lnTo>
                    <a:lnTo>
                      <a:pt x="938" y="464"/>
                    </a:lnTo>
                    <a:lnTo>
                      <a:pt x="938" y="464"/>
                    </a:lnTo>
                    <a:lnTo>
                      <a:pt x="929" y="464"/>
                    </a:lnTo>
                    <a:lnTo>
                      <a:pt x="929" y="464"/>
                    </a:lnTo>
                    <a:lnTo>
                      <a:pt x="929" y="464"/>
                    </a:lnTo>
                    <a:lnTo>
                      <a:pt x="929" y="464"/>
                    </a:lnTo>
                    <a:lnTo>
                      <a:pt x="920" y="464"/>
                    </a:lnTo>
                    <a:lnTo>
                      <a:pt x="920" y="464"/>
                    </a:lnTo>
                    <a:lnTo>
                      <a:pt x="920" y="464"/>
                    </a:lnTo>
                    <a:lnTo>
                      <a:pt x="920" y="464"/>
                    </a:lnTo>
                    <a:lnTo>
                      <a:pt x="920" y="464"/>
                    </a:lnTo>
                    <a:lnTo>
                      <a:pt x="920" y="464"/>
                    </a:lnTo>
                    <a:lnTo>
                      <a:pt x="911" y="464"/>
                    </a:lnTo>
                    <a:lnTo>
                      <a:pt x="911" y="464"/>
                    </a:lnTo>
                    <a:lnTo>
                      <a:pt x="911" y="464"/>
                    </a:lnTo>
                    <a:lnTo>
                      <a:pt x="902" y="464"/>
                    </a:lnTo>
                    <a:lnTo>
                      <a:pt x="902" y="464"/>
                    </a:lnTo>
                    <a:lnTo>
                      <a:pt x="902" y="464"/>
                    </a:lnTo>
                    <a:lnTo>
                      <a:pt x="893" y="464"/>
                    </a:lnTo>
                    <a:lnTo>
                      <a:pt x="893" y="464"/>
                    </a:lnTo>
                    <a:lnTo>
                      <a:pt x="884" y="464"/>
                    </a:lnTo>
                    <a:lnTo>
                      <a:pt x="884" y="455"/>
                    </a:lnTo>
                    <a:lnTo>
                      <a:pt x="875" y="455"/>
                    </a:lnTo>
                    <a:lnTo>
                      <a:pt x="875" y="455"/>
                    </a:lnTo>
                    <a:lnTo>
                      <a:pt x="866" y="455"/>
                    </a:lnTo>
                    <a:lnTo>
                      <a:pt x="866" y="455"/>
                    </a:lnTo>
                    <a:lnTo>
                      <a:pt x="866" y="455"/>
                    </a:lnTo>
                    <a:lnTo>
                      <a:pt x="857" y="455"/>
                    </a:lnTo>
                    <a:lnTo>
                      <a:pt x="857" y="455"/>
                    </a:lnTo>
                    <a:lnTo>
                      <a:pt x="857" y="455"/>
                    </a:lnTo>
                    <a:lnTo>
                      <a:pt x="857" y="455"/>
                    </a:lnTo>
                    <a:lnTo>
                      <a:pt x="857" y="447"/>
                    </a:lnTo>
                    <a:lnTo>
                      <a:pt x="848" y="447"/>
                    </a:lnTo>
                    <a:lnTo>
                      <a:pt x="848" y="447"/>
                    </a:lnTo>
                    <a:lnTo>
                      <a:pt x="848" y="447"/>
                    </a:lnTo>
                    <a:lnTo>
                      <a:pt x="839" y="447"/>
                    </a:lnTo>
                    <a:lnTo>
                      <a:pt x="839" y="447"/>
                    </a:lnTo>
                    <a:lnTo>
                      <a:pt x="831" y="447"/>
                    </a:lnTo>
                    <a:lnTo>
                      <a:pt x="831" y="447"/>
                    </a:lnTo>
                    <a:lnTo>
                      <a:pt x="822" y="447"/>
                    </a:lnTo>
                    <a:lnTo>
                      <a:pt x="822" y="447"/>
                    </a:lnTo>
                    <a:lnTo>
                      <a:pt x="822" y="447"/>
                    </a:lnTo>
                    <a:lnTo>
                      <a:pt x="813" y="447"/>
                    </a:lnTo>
                    <a:lnTo>
                      <a:pt x="813" y="447"/>
                    </a:lnTo>
                    <a:lnTo>
                      <a:pt x="804" y="447"/>
                    </a:lnTo>
                    <a:lnTo>
                      <a:pt x="804" y="447"/>
                    </a:lnTo>
                    <a:lnTo>
                      <a:pt x="795" y="447"/>
                    </a:lnTo>
                    <a:lnTo>
                      <a:pt x="795" y="447"/>
                    </a:lnTo>
                    <a:lnTo>
                      <a:pt x="786" y="447"/>
                    </a:lnTo>
                    <a:lnTo>
                      <a:pt x="786" y="447"/>
                    </a:lnTo>
                    <a:lnTo>
                      <a:pt x="777" y="447"/>
                    </a:lnTo>
                    <a:lnTo>
                      <a:pt x="777" y="447"/>
                    </a:lnTo>
                    <a:lnTo>
                      <a:pt x="777" y="438"/>
                    </a:lnTo>
                    <a:lnTo>
                      <a:pt x="777" y="438"/>
                    </a:lnTo>
                    <a:lnTo>
                      <a:pt x="777" y="438"/>
                    </a:lnTo>
                    <a:lnTo>
                      <a:pt x="768" y="438"/>
                    </a:lnTo>
                    <a:lnTo>
                      <a:pt x="768" y="438"/>
                    </a:lnTo>
                    <a:lnTo>
                      <a:pt x="768" y="438"/>
                    </a:lnTo>
                    <a:lnTo>
                      <a:pt x="768" y="429"/>
                    </a:lnTo>
                    <a:lnTo>
                      <a:pt x="768" y="429"/>
                    </a:lnTo>
                    <a:lnTo>
                      <a:pt x="768" y="429"/>
                    </a:lnTo>
                    <a:lnTo>
                      <a:pt x="768" y="429"/>
                    </a:lnTo>
                    <a:lnTo>
                      <a:pt x="768" y="429"/>
                    </a:lnTo>
                    <a:lnTo>
                      <a:pt x="768" y="420"/>
                    </a:lnTo>
                    <a:lnTo>
                      <a:pt x="768" y="420"/>
                    </a:lnTo>
                    <a:lnTo>
                      <a:pt x="768" y="420"/>
                    </a:lnTo>
                    <a:lnTo>
                      <a:pt x="768" y="420"/>
                    </a:lnTo>
                    <a:lnTo>
                      <a:pt x="768" y="411"/>
                    </a:lnTo>
                    <a:lnTo>
                      <a:pt x="777" y="411"/>
                    </a:lnTo>
                    <a:lnTo>
                      <a:pt x="777" y="411"/>
                    </a:lnTo>
                    <a:lnTo>
                      <a:pt x="777" y="411"/>
                    </a:lnTo>
                    <a:lnTo>
                      <a:pt x="777" y="411"/>
                    </a:lnTo>
                    <a:lnTo>
                      <a:pt x="777" y="402"/>
                    </a:lnTo>
                    <a:lnTo>
                      <a:pt x="777" y="402"/>
                    </a:lnTo>
                    <a:lnTo>
                      <a:pt x="786" y="402"/>
                    </a:lnTo>
                    <a:lnTo>
                      <a:pt x="786" y="393"/>
                    </a:lnTo>
                    <a:lnTo>
                      <a:pt x="786" y="393"/>
                    </a:lnTo>
                    <a:lnTo>
                      <a:pt x="795" y="393"/>
                    </a:lnTo>
                    <a:lnTo>
                      <a:pt x="795" y="384"/>
                    </a:lnTo>
                    <a:lnTo>
                      <a:pt x="795" y="384"/>
                    </a:lnTo>
                    <a:lnTo>
                      <a:pt x="795" y="375"/>
                    </a:lnTo>
                    <a:lnTo>
                      <a:pt x="804" y="375"/>
                    </a:lnTo>
                    <a:lnTo>
                      <a:pt x="804" y="375"/>
                    </a:lnTo>
                    <a:lnTo>
                      <a:pt x="804" y="366"/>
                    </a:lnTo>
                    <a:lnTo>
                      <a:pt x="804" y="366"/>
                    </a:lnTo>
                    <a:lnTo>
                      <a:pt x="804" y="366"/>
                    </a:lnTo>
                    <a:lnTo>
                      <a:pt x="804" y="357"/>
                    </a:lnTo>
                    <a:lnTo>
                      <a:pt x="804" y="357"/>
                    </a:lnTo>
                    <a:lnTo>
                      <a:pt x="813" y="357"/>
                    </a:lnTo>
                    <a:lnTo>
                      <a:pt x="813" y="357"/>
                    </a:lnTo>
                    <a:lnTo>
                      <a:pt x="813" y="348"/>
                    </a:lnTo>
                    <a:lnTo>
                      <a:pt x="813" y="348"/>
                    </a:lnTo>
                    <a:lnTo>
                      <a:pt x="813" y="348"/>
                    </a:lnTo>
                    <a:lnTo>
                      <a:pt x="822" y="348"/>
                    </a:lnTo>
                    <a:lnTo>
                      <a:pt x="822" y="339"/>
                    </a:lnTo>
                    <a:lnTo>
                      <a:pt x="822" y="339"/>
                    </a:lnTo>
                    <a:lnTo>
                      <a:pt x="822" y="339"/>
                    </a:lnTo>
                    <a:lnTo>
                      <a:pt x="831" y="330"/>
                    </a:lnTo>
                    <a:lnTo>
                      <a:pt x="831" y="330"/>
                    </a:lnTo>
                    <a:lnTo>
                      <a:pt x="831" y="330"/>
                    </a:lnTo>
                    <a:lnTo>
                      <a:pt x="831" y="330"/>
                    </a:lnTo>
                    <a:lnTo>
                      <a:pt x="831" y="330"/>
                    </a:lnTo>
                    <a:lnTo>
                      <a:pt x="822" y="330"/>
                    </a:lnTo>
                    <a:lnTo>
                      <a:pt x="822" y="330"/>
                    </a:lnTo>
                    <a:lnTo>
                      <a:pt x="822" y="322"/>
                    </a:lnTo>
                    <a:lnTo>
                      <a:pt x="822" y="322"/>
                    </a:lnTo>
                    <a:lnTo>
                      <a:pt x="822" y="322"/>
                    </a:lnTo>
                    <a:lnTo>
                      <a:pt x="822" y="322"/>
                    </a:lnTo>
                    <a:lnTo>
                      <a:pt x="822" y="322"/>
                    </a:lnTo>
                    <a:lnTo>
                      <a:pt x="822" y="322"/>
                    </a:lnTo>
                    <a:lnTo>
                      <a:pt x="813" y="322"/>
                    </a:lnTo>
                    <a:lnTo>
                      <a:pt x="813" y="322"/>
                    </a:lnTo>
                    <a:lnTo>
                      <a:pt x="813" y="322"/>
                    </a:lnTo>
                    <a:lnTo>
                      <a:pt x="813" y="322"/>
                    </a:lnTo>
                    <a:lnTo>
                      <a:pt x="804" y="313"/>
                    </a:lnTo>
                    <a:lnTo>
                      <a:pt x="804" y="313"/>
                    </a:lnTo>
                    <a:lnTo>
                      <a:pt x="804" y="313"/>
                    </a:lnTo>
                    <a:lnTo>
                      <a:pt x="795" y="313"/>
                    </a:lnTo>
                    <a:lnTo>
                      <a:pt x="795" y="313"/>
                    </a:lnTo>
                    <a:lnTo>
                      <a:pt x="795" y="313"/>
                    </a:lnTo>
                    <a:lnTo>
                      <a:pt x="786" y="313"/>
                    </a:lnTo>
                    <a:lnTo>
                      <a:pt x="786" y="313"/>
                    </a:lnTo>
                    <a:lnTo>
                      <a:pt x="777" y="313"/>
                    </a:lnTo>
                    <a:lnTo>
                      <a:pt x="777" y="304"/>
                    </a:lnTo>
                    <a:lnTo>
                      <a:pt x="777" y="304"/>
                    </a:lnTo>
                    <a:lnTo>
                      <a:pt x="777" y="304"/>
                    </a:lnTo>
                    <a:lnTo>
                      <a:pt x="768" y="304"/>
                    </a:lnTo>
                    <a:lnTo>
                      <a:pt x="768" y="304"/>
                    </a:lnTo>
                    <a:lnTo>
                      <a:pt x="768" y="304"/>
                    </a:lnTo>
                    <a:lnTo>
                      <a:pt x="768" y="304"/>
                    </a:lnTo>
                    <a:lnTo>
                      <a:pt x="768" y="304"/>
                    </a:lnTo>
                    <a:lnTo>
                      <a:pt x="768" y="295"/>
                    </a:lnTo>
                    <a:lnTo>
                      <a:pt x="759" y="295"/>
                    </a:lnTo>
                    <a:lnTo>
                      <a:pt x="759" y="295"/>
                    </a:lnTo>
                    <a:lnTo>
                      <a:pt x="759" y="295"/>
                    </a:lnTo>
                    <a:lnTo>
                      <a:pt x="759" y="286"/>
                    </a:lnTo>
                    <a:lnTo>
                      <a:pt x="759" y="286"/>
                    </a:lnTo>
                    <a:lnTo>
                      <a:pt x="759" y="286"/>
                    </a:lnTo>
                    <a:lnTo>
                      <a:pt x="759" y="286"/>
                    </a:lnTo>
                    <a:lnTo>
                      <a:pt x="759" y="286"/>
                    </a:lnTo>
                    <a:lnTo>
                      <a:pt x="750" y="286"/>
                    </a:lnTo>
                    <a:lnTo>
                      <a:pt x="750" y="286"/>
                    </a:lnTo>
                    <a:lnTo>
                      <a:pt x="750" y="286"/>
                    </a:lnTo>
                    <a:lnTo>
                      <a:pt x="750" y="286"/>
                    </a:lnTo>
                    <a:lnTo>
                      <a:pt x="741" y="286"/>
                    </a:lnTo>
                    <a:lnTo>
                      <a:pt x="741" y="286"/>
                    </a:lnTo>
                    <a:lnTo>
                      <a:pt x="741" y="286"/>
                    </a:lnTo>
                    <a:lnTo>
                      <a:pt x="741" y="286"/>
                    </a:lnTo>
                    <a:lnTo>
                      <a:pt x="741" y="286"/>
                    </a:lnTo>
                    <a:lnTo>
                      <a:pt x="741" y="286"/>
                    </a:lnTo>
                    <a:lnTo>
                      <a:pt x="741" y="277"/>
                    </a:lnTo>
                    <a:lnTo>
                      <a:pt x="741" y="277"/>
                    </a:lnTo>
                    <a:lnTo>
                      <a:pt x="741" y="277"/>
                    </a:lnTo>
                    <a:lnTo>
                      <a:pt x="741" y="277"/>
                    </a:lnTo>
                    <a:lnTo>
                      <a:pt x="732" y="277"/>
                    </a:lnTo>
                    <a:lnTo>
                      <a:pt x="732" y="277"/>
                    </a:lnTo>
                    <a:lnTo>
                      <a:pt x="723" y="277"/>
                    </a:lnTo>
                    <a:lnTo>
                      <a:pt x="714" y="277"/>
                    </a:lnTo>
                    <a:lnTo>
                      <a:pt x="714" y="277"/>
                    </a:lnTo>
                    <a:lnTo>
                      <a:pt x="705" y="277"/>
                    </a:lnTo>
                    <a:lnTo>
                      <a:pt x="705" y="277"/>
                    </a:lnTo>
                    <a:lnTo>
                      <a:pt x="697" y="277"/>
                    </a:lnTo>
                    <a:lnTo>
                      <a:pt x="697" y="277"/>
                    </a:lnTo>
                    <a:lnTo>
                      <a:pt x="697" y="277"/>
                    </a:lnTo>
                    <a:lnTo>
                      <a:pt x="688" y="277"/>
                    </a:lnTo>
                    <a:lnTo>
                      <a:pt x="688" y="277"/>
                    </a:lnTo>
                    <a:lnTo>
                      <a:pt x="688" y="277"/>
                    </a:lnTo>
                    <a:lnTo>
                      <a:pt x="679" y="277"/>
                    </a:lnTo>
                    <a:lnTo>
                      <a:pt x="679" y="277"/>
                    </a:lnTo>
                    <a:lnTo>
                      <a:pt x="679" y="277"/>
                    </a:lnTo>
                    <a:lnTo>
                      <a:pt x="679" y="277"/>
                    </a:lnTo>
                    <a:lnTo>
                      <a:pt x="670" y="277"/>
                    </a:lnTo>
                    <a:lnTo>
                      <a:pt x="670" y="277"/>
                    </a:lnTo>
                    <a:lnTo>
                      <a:pt x="670" y="268"/>
                    </a:lnTo>
                    <a:lnTo>
                      <a:pt x="670" y="268"/>
                    </a:lnTo>
                    <a:lnTo>
                      <a:pt x="670" y="268"/>
                    </a:lnTo>
                    <a:lnTo>
                      <a:pt x="670" y="268"/>
                    </a:lnTo>
                    <a:lnTo>
                      <a:pt x="670" y="268"/>
                    </a:lnTo>
                    <a:lnTo>
                      <a:pt x="670" y="259"/>
                    </a:lnTo>
                    <a:lnTo>
                      <a:pt x="670" y="259"/>
                    </a:lnTo>
                    <a:lnTo>
                      <a:pt x="670" y="259"/>
                    </a:lnTo>
                    <a:lnTo>
                      <a:pt x="670" y="259"/>
                    </a:lnTo>
                    <a:lnTo>
                      <a:pt x="670" y="259"/>
                    </a:lnTo>
                    <a:lnTo>
                      <a:pt x="670" y="259"/>
                    </a:lnTo>
                    <a:lnTo>
                      <a:pt x="670" y="250"/>
                    </a:lnTo>
                    <a:lnTo>
                      <a:pt x="670" y="250"/>
                    </a:lnTo>
                    <a:lnTo>
                      <a:pt x="670" y="250"/>
                    </a:lnTo>
                    <a:lnTo>
                      <a:pt x="670" y="250"/>
                    </a:lnTo>
                    <a:lnTo>
                      <a:pt x="661" y="250"/>
                    </a:lnTo>
                    <a:lnTo>
                      <a:pt x="661" y="250"/>
                    </a:lnTo>
                    <a:lnTo>
                      <a:pt x="661" y="250"/>
                    </a:lnTo>
                    <a:lnTo>
                      <a:pt x="661" y="241"/>
                    </a:lnTo>
                    <a:lnTo>
                      <a:pt x="661" y="241"/>
                    </a:lnTo>
                    <a:lnTo>
                      <a:pt x="652" y="241"/>
                    </a:lnTo>
                    <a:lnTo>
                      <a:pt x="652" y="241"/>
                    </a:lnTo>
                    <a:lnTo>
                      <a:pt x="652" y="241"/>
                    </a:lnTo>
                    <a:lnTo>
                      <a:pt x="652" y="241"/>
                    </a:lnTo>
                    <a:lnTo>
                      <a:pt x="652" y="241"/>
                    </a:lnTo>
                    <a:lnTo>
                      <a:pt x="652" y="232"/>
                    </a:lnTo>
                    <a:lnTo>
                      <a:pt x="652" y="232"/>
                    </a:lnTo>
                    <a:lnTo>
                      <a:pt x="643" y="232"/>
                    </a:lnTo>
                    <a:lnTo>
                      <a:pt x="643" y="232"/>
                    </a:lnTo>
                    <a:lnTo>
                      <a:pt x="643" y="232"/>
                    </a:lnTo>
                    <a:lnTo>
                      <a:pt x="643" y="232"/>
                    </a:lnTo>
                    <a:lnTo>
                      <a:pt x="643" y="223"/>
                    </a:lnTo>
                    <a:lnTo>
                      <a:pt x="643" y="223"/>
                    </a:lnTo>
                    <a:lnTo>
                      <a:pt x="643" y="223"/>
                    </a:lnTo>
                    <a:lnTo>
                      <a:pt x="643" y="223"/>
                    </a:lnTo>
                    <a:lnTo>
                      <a:pt x="643" y="223"/>
                    </a:lnTo>
                    <a:lnTo>
                      <a:pt x="643" y="223"/>
                    </a:lnTo>
                    <a:lnTo>
                      <a:pt x="643" y="214"/>
                    </a:lnTo>
                    <a:lnTo>
                      <a:pt x="643" y="214"/>
                    </a:lnTo>
                    <a:lnTo>
                      <a:pt x="643" y="214"/>
                    </a:lnTo>
                    <a:lnTo>
                      <a:pt x="643" y="214"/>
                    </a:lnTo>
                    <a:lnTo>
                      <a:pt x="643" y="214"/>
                    </a:lnTo>
                    <a:lnTo>
                      <a:pt x="643" y="214"/>
                    </a:lnTo>
                    <a:lnTo>
                      <a:pt x="643" y="205"/>
                    </a:lnTo>
                    <a:lnTo>
                      <a:pt x="643" y="205"/>
                    </a:lnTo>
                    <a:lnTo>
                      <a:pt x="643" y="205"/>
                    </a:lnTo>
                    <a:lnTo>
                      <a:pt x="634" y="205"/>
                    </a:lnTo>
                    <a:lnTo>
                      <a:pt x="634" y="205"/>
                    </a:lnTo>
                    <a:lnTo>
                      <a:pt x="625" y="205"/>
                    </a:lnTo>
                    <a:lnTo>
                      <a:pt x="625" y="205"/>
                    </a:lnTo>
                    <a:lnTo>
                      <a:pt x="625" y="205"/>
                    </a:lnTo>
                    <a:lnTo>
                      <a:pt x="616" y="205"/>
                    </a:lnTo>
                    <a:lnTo>
                      <a:pt x="616" y="205"/>
                    </a:lnTo>
                    <a:lnTo>
                      <a:pt x="616" y="205"/>
                    </a:lnTo>
                    <a:lnTo>
                      <a:pt x="616" y="205"/>
                    </a:lnTo>
                    <a:lnTo>
                      <a:pt x="616" y="205"/>
                    </a:lnTo>
                    <a:lnTo>
                      <a:pt x="616" y="205"/>
                    </a:lnTo>
                    <a:lnTo>
                      <a:pt x="616" y="205"/>
                    </a:lnTo>
                    <a:lnTo>
                      <a:pt x="616" y="205"/>
                    </a:lnTo>
                    <a:lnTo>
                      <a:pt x="616" y="205"/>
                    </a:lnTo>
                    <a:lnTo>
                      <a:pt x="616" y="205"/>
                    </a:lnTo>
                    <a:lnTo>
                      <a:pt x="616" y="197"/>
                    </a:lnTo>
                    <a:lnTo>
                      <a:pt x="625" y="197"/>
                    </a:lnTo>
                    <a:lnTo>
                      <a:pt x="625" y="197"/>
                    </a:lnTo>
                    <a:lnTo>
                      <a:pt x="625" y="197"/>
                    </a:lnTo>
                    <a:lnTo>
                      <a:pt x="634" y="197"/>
                    </a:lnTo>
                    <a:lnTo>
                      <a:pt x="634" y="197"/>
                    </a:lnTo>
                    <a:lnTo>
                      <a:pt x="634" y="197"/>
                    </a:lnTo>
                    <a:lnTo>
                      <a:pt x="643" y="197"/>
                    </a:lnTo>
                    <a:lnTo>
                      <a:pt x="643" y="188"/>
                    </a:lnTo>
                    <a:lnTo>
                      <a:pt x="643" y="188"/>
                    </a:lnTo>
                    <a:lnTo>
                      <a:pt x="643" y="188"/>
                    </a:lnTo>
                    <a:lnTo>
                      <a:pt x="643" y="188"/>
                    </a:lnTo>
                    <a:lnTo>
                      <a:pt x="643" y="179"/>
                    </a:lnTo>
                    <a:lnTo>
                      <a:pt x="643" y="179"/>
                    </a:lnTo>
                    <a:lnTo>
                      <a:pt x="643" y="179"/>
                    </a:lnTo>
                    <a:lnTo>
                      <a:pt x="652" y="179"/>
                    </a:lnTo>
                    <a:lnTo>
                      <a:pt x="652" y="170"/>
                    </a:lnTo>
                    <a:lnTo>
                      <a:pt x="652" y="161"/>
                    </a:lnTo>
                    <a:lnTo>
                      <a:pt x="652" y="161"/>
                    </a:lnTo>
                    <a:lnTo>
                      <a:pt x="652" y="152"/>
                    </a:lnTo>
                    <a:lnTo>
                      <a:pt x="652" y="152"/>
                    </a:lnTo>
                    <a:lnTo>
                      <a:pt x="652" y="143"/>
                    </a:lnTo>
                    <a:lnTo>
                      <a:pt x="652" y="134"/>
                    </a:lnTo>
                    <a:lnTo>
                      <a:pt x="652" y="134"/>
                    </a:lnTo>
                    <a:lnTo>
                      <a:pt x="652" y="125"/>
                    </a:lnTo>
                    <a:lnTo>
                      <a:pt x="652" y="125"/>
                    </a:lnTo>
                    <a:lnTo>
                      <a:pt x="652" y="125"/>
                    </a:lnTo>
                    <a:lnTo>
                      <a:pt x="652" y="125"/>
                    </a:lnTo>
                    <a:lnTo>
                      <a:pt x="652" y="125"/>
                    </a:lnTo>
                    <a:lnTo>
                      <a:pt x="652" y="116"/>
                    </a:lnTo>
                    <a:lnTo>
                      <a:pt x="652" y="116"/>
                    </a:lnTo>
                    <a:lnTo>
                      <a:pt x="652" y="116"/>
                    </a:lnTo>
                    <a:lnTo>
                      <a:pt x="661" y="116"/>
                    </a:lnTo>
                    <a:lnTo>
                      <a:pt x="661" y="116"/>
                    </a:lnTo>
                    <a:lnTo>
                      <a:pt x="661" y="116"/>
                    </a:lnTo>
                    <a:lnTo>
                      <a:pt x="661" y="107"/>
                    </a:lnTo>
                    <a:lnTo>
                      <a:pt x="661" y="107"/>
                    </a:lnTo>
                    <a:lnTo>
                      <a:pt x="661" y="107"/>
                    </a:lnTo>
                    <a:lnTo>
                      <a:pt x="670" y="107"/>
                    </a:lnTo>
                    <a:lnTo>
                      <a:pt x="670" y="107"/>
                    </a:lnTo>
                    <a:lnTo>
                      <a:pt x="670" y="107"/>
                    </a:lnTo>
                    <a:lnTo>
                      <a:pt x="670" y="107"/>
                    </a:lnTo>
                    <a:lnTo>
                      <a:pt x="670" y="98"/>
                    </a:lnTo>
                    <a:lnTo>
                      <a:pt x="670" y="98"/>
                    </a:lnTo>
                    <a:lnTo>
                      <a:pt x="670" y="98"/>
                    </a:lnTo>
                    <a:lnTo>
                      <a:pt x="670" y="98"/>
                    </a:lnTo>
                    <a:lnTo>
                      <a:pt x="670" y="98"/>
                    </a:lnTo>
                    <a:lnTo>
                      <a:pt x="670" y="98"/>
                    </a:lnTo>
                    <a:lnTo>
                      <a:pt x="670" y="89"/>
                    </a:lnTo>
                    <a:lnTo>
                      <a:pt x="670" y="89"/>
                    </a:lnTo>
                    <a:lnTo>
                      <a:pt x="670" y="89"/>
                    </a:lnTo>
                    <a:lnTo>
                      <a:pt x="661" y="89"/>
                    </a:lnTo>
                    <a:lnTo>
                      <a:pt x="661" y="89"/>
                    </a:lnTo>
                    <a:lnTo>
                      <a:pt x="661" y="89"/>
                    </a:lnTo>
                    <a:lnTo>
                      <a:pt x="661" y="89"/>
                    </a:lnTo>
                    <a:lnTo>
                      <a:pt x="661" y="80"/>
                    </a:lnTo>
                    <a:lnTo>
                      <a:pt x="661" y="89"/>
                    </a:lnTo>
                    <a:lnTo>
                      <a:pt x="661" y="89"/>
                    </a:lnTo>
                    <a:lnTo>
                      <a:pt x="661" y="89"/>
                    </a:lnTo>
                    <a:lnTo>
                      <a:pt x="661" y="89"/>
                    </a:lnTo>
                    <a:lnTo>
                      <a:pt x="661" y="89"/>
                    </a:lnTo>
                    <a:lnTo>
                      <a:pt x="652" y="89"/>
                    </a:lnTo>
                    <a:lnTo>
                      <a:pt x="652" y="89"/>
                    </a:lnTo>
                    <a:lnTo>
                      <a:pt x="652" y="89"/>
                    </a:lnTo>
                    <a:lnTo>
                      <a:pt x="652" y="89"/>
                    </a:lnTo>
                    <a:lnTo>
                      <a:pt x="652" y="89"/>
                    </a:lnTo>
                    <a:lnTo>
                      <a:pt x="652" y="89"/>
                    </a:lnTo>
                    <a:lnTo>
                      <a:pt x="652" y="89"/>
                    </a:lnTo>
                    <a:lnTo>
                      <a:pt x="643" y="98"/>
                    </a:lnTo>
                    <a:lnTo>
                      <a:pt x="643" y="98"/>
                    </a:lnTo>
                    <a:lnTo>
                      <a:pt x="643" y="98"/>
                    </a:lnTo>
                    <a:lnTo>
                      <a:pt x="643" y="98"/>
                    </a:lnTo>
                    <a:lnTo>
                      <a:pt x="643" y="98"/>
                    </a:lnTo>
                    <a:lnTo>
                      <a:pt x="634" y="98"/>
                    </a:lnTo>
                    <a:lnTo>
                      <a:pt x="634" y="98"/>
                    </a:lnTo>
                    <a:lnTo>
                      <a:pt x="634" y="98"/>
                    </a:lnTo>
                    <a:lnTo>
                      <a:pt x="625" y="98"/>
                    </a:lnTo>
                    <a:lnTo>
                      <a:pt x="625" y="98"/>
                    </a:lnTo>
                    <a:lnTo>
                      <a:pt x="625" y="98"/>
                    </a:lnTo>
                    <a:lnTo>
                      <a:pt x="616" y="98"/>
                    </a:lnTo>
                    <a:lnTo>
                      <a:pt x="616" y="98"/>
                    </a:lnTo>
                    <a:lnTo>
                      <a:pt x="616" y="98"/>
                    </a:lnTo>
                    <a:lnTo>
                      <a:pt x="616" y="98"/>
                    </a:lnTo>
                    <a:lnTo>
                      <a:pt x="616" y="98"/>
                    </a:lnTo>
                    <a:lnTo>
                      <a:pt x="616" y="107"/>
                    </a:lnTo>
                    <a:lnTo>
                      <a:pt x="616" y="107"/>
                    </a:lnTo>
                    <a:lnTo>
                      <a:pt x="616" y="107"/>
                    </a:lnTo>
                    <a:lnTo>
                      <a:pt x="607" y="107"/>
                    </a:lnTo>
                    <a:lnTo>
                      <a:pt x="607" y="107"/>
                    </a:lnTo>
                    <a:lnTo>
                      <a:pt x="607" y="107"/>
                    </a:lnTo>
                    <a:lnTo>
                      <a:pt x="607" y="107"/>
                    </a:lnTo>
                    <a:lnTo>
                      <a:pt x="607" y="116"/>
                    </a:lnTo>
                    <a:lnTo>
                      <a:pt x="607" y="116"/>
                    </a:lnTo>
                    <a:lnTo>
                      <a:pt x="607" y="116"/>
                    </a:lnTo>
                    <a:lnTo>
                      <a:pt x="607" y="116"/>
                    </a:lnTo>
                    <a:lnTo>
                      <a:pt x="607" y="116"/>
                    </a:lnTo>
                    <a:lnTo>
                      <a:pt x="607" y="125"/>
                    </a:lnTo>
                    <a:lnTo>
                      <a:pt x="607" y="125"/>
                    </a:lnTo>
                    <a:lnTo>
                      <a:pt x="607" y="125"/>
                    </a:lnTo>
                    <a:lnTo>
                      <a:pt x="607" y="134"/>
                    </a:lnTo>
                    <a:lnTo>
                      <a:pt x="607" y="134"/>
                    </a:lnTo>
                    <a:lnTo>
                      <a:pt x="607" y="134"/>
                    </a:lnTo>
                    <a:lnTo>
                      <a:pt x="607" y="134"/>
                    </a:lnTo>
                    <a:lnTo>
                      <a:pt x="607" y="143"/>
                    </a:lnTo>
                    <a:lnTo>
                      <a:pt x="607" y="143"/>
                    </a:lnTo>
                    <a:lnTo>
                      <a:pt x="598" y="134"/>
                    </a:lnTo>
                    <a:lnTo>
                      <a:pt x="598" y="134"/>
                    </a:lnTo>
                    <a:lnTo>
                      <a:pt x="598" y="134"/>
                    </a:lnTo>
                    <a:lnTo>
                      <a:pt x="598" y="134"/>
                    </a:lnTo>
                    <a:lnTo>
                      <a:pt x="589" y="134"/>
                    </a:lnTo>
                    <a:lnTo>
                      <a:pt x="589" y="134"/>
                    </a:lnTo>
                    <a:lnTo>
                      <a:pt x="589" y="125"/>
                    </a:lnTo>
                    <a:lnTo>
                      <a:pt x="589" y="125"/>
                    </a:lnTo>
                    <a:lnTo>
                      <a:pt x="589" y="125"/>
                    </a:lnTo>
                    <a:lnTo>
                      <a:pt x="589" y="125"/>
                    </a:lnTo>
                    <a:lnTo>
                      <a:pt x="580" y="116"/>
                    </a:lnTo>
                    <a:lnTo>
                      <a:pt x="580" y="116"/>
                    </a:lnTo>
                    <a:lnTo>
                      <a:pt x="580" y="116"/>
                    </a:lnTo>
                    <a:lnTo>
                      <a:pt x="580" y="116"/>
                    </a:lnTo>
                    <a:lnTo>
                      <a:pt x="580" y="107"/>
                    </a:lnTo>
                    <a:lnTo>
                      <a:pt x="580" y="107"/>
                    </a:lnTo>
                    <a:lnTo>
                      <a:pt x="580" y="107"/>
                    </a:lnTo>
                    <a:lnTo>
                      <a:pt x="580" y="98"/>
                    </a:lnTo>
                    <a:lnTo>
                      <a:pt x="580" y="98"/>
                    </a:lnTo>
                    <a:lnTo>
                      <a:pt x="580" y="98"/>
                    </a:lnTo>
                    <a:lnTo>
                      <a:pt x="580" y="89"/>
                    </a:lnTo>
                    <a:lnTo>
                      <a:pt x="580" y="89"/>
                    </a:lnTo>
                    <a:lnTo>
                      <a:pt x="580" y="89"/>
                    </a:lnTo>
                    <a:lnTo>
                      <a:pt x="580" y="89"/>
                    </a:lnTo>
                    <a:lnTo>
                      <a:pt x="580" y="80"/>
                    </a:lnTo>
                    <a:lnTo>
                      <a:pt x="572" y="80"/>
                    </a:lnTo>
                    <a:lnTo>
                      <a:pt x="572" y="80"/>
                    </a:lnTo>
                    <a:lnTo>
                      <a:pt x="572" y="80"/>
                    </a:lnTo>
                    <a:lnTo>
                      <a:pt x="572" y="80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63"/>
                    </a:lnTo>
                    <a:lnTo>
                      <a:pt x="563" y="63"/>
                    </a:lnTo>
                    <a:lnTo>
                      <a:pt x="563" y="63"/>
                    </a:lnTo>
                    <a:lnTo>
                      <a:pt x="563" y="63"/>
                    </a:lnTo>
                    <a:lnTo>
                      <a:pt x="563" y="63"/>
                    </a:lnTo>
                    <a:lnTo>
                      <a:pt x="563" y="54"/>
                    </a:lnTo>
                    <a:lnTo>
                      <a:pt x="563" y="54"/>
                    </a:lnTo>
                    <a:lnTo>
                      <a:pt x="563" y="54"/>
                    </a:lnTo>
                    <a:lnTo>
                      <a:pt x="563" y="45"/>
                    </a:lnTo>
                    <a:lnTo>
                      <a:pt x="563" y="45"/>
                    </a:lnTo>
                    <a:lnTo>
                      <a:pt x="563" y="45"/>
                    </a:lnTo>
                    <a:lnTo>
                      <a:pt x="572" y="36"/>
                    </a:lnTo>
                    <a:lnTo>
                      <a:pt x="563" y="36"/>
                    </a:lnTo>
                    <a:lnTo>
                      <a:pt x="563" y="36"/>
                    </a:lnTo>
                    <a:lnTo>
                      <a:pt x="563" y="36"/>
                    </a:lnTo>
                    <a:lnTo>
                      <a:pt x="563" y="36"/>
                    </a:lnTo>
                    <a:lnTo>
                      <a:pt x="563" y="36"/>
                    </a:lnTo>
                    <a:lnTo>
                      <a:pt x="554" y="27"/>
                    </a:lnTo>
                    <a:lnTo>
                      <a:pt x="554" y="27"/>
                    </a:lnTo>
                    <a:lnTo>
                      <a:pt x="554" y="27"/>
                    </a:lnTo>
                    <a:lnTo>
                      <a:pt x="554" y="27"/>
                    </a:lnTo>
                    <a:lnTo>
                      <a:pt x="554" y="27"/>
                    </a:lnTo>
                    <a:lnTo>
                      <a:pt x="554" y="27"/>
                    </a:lnTo>
                    <a:lnTo>
                      <a:pt x="554" y="18"/>
                    </a:lnTo>
                    <a:lnTo>
                      <a:pt x="554" y="18"/>
                    </a:lnTo>
                    <a:lnTo>
                      <a:pt x="554" y="18"/>
                    </a:lnTo>
                    <a:lnTo>
                      <a:pt x="554" y="18"/>
                    </a:lnTo>
                    <a:lnTo>
                      <a:pt x="554" y="18"/>
                    </a:lnTo>
                    <a:lnTo>
                      <a:pt x="554" y="18"/>
                    </a:lnTo>
                    <a:lnTo>
                      <a:pt x="554" y="18"/>
                    </a:lnTo>
                    <a:lnTo>
                      <a:pt x="554" y="18"/>
                    </a:lnTo>
                    <a:lnTo>
                      <a:pt x="554" y="18"/>
                    </a:lnTo>
                    <a:lnTo>
                      <a:pt x="545" y="18"/>
                    </a:lnTo>
                    <a:lnTo>
                      <a:pt x="545" y="18"/>
                    </a:lnTo>
                    <a:lnTo>
                      <a:pt x="545" y="18"/>
                    </a:lnTo>
                    <a:lnTo>
                      <a:pt x="545" y="18"/>
                    </a:lnTo>
                    <a:lnTo>
                      <a:pt x="545" y="18"/>
                    </a:lnTo>
                    <a:lnTo>
                      <a:pt x="536" y="18"/>
                    </a:lnTo>
                    <a:lnTo>
                      <a:pt x="536" y="18"/>
                    </a:lnTo>
                    <a:lnTo>
                      <a:pt x="536" y="18"/>
                    </a:lnTo>
                    <a:lnTo>
                      <a:pt x="527" y="18"/>
                    </a:lnTo>
                    <a:lnTo>
                      <a:pt x="527" y="18"/>
                    </a:lnTo>
                    <a:lnTo>
                      <a:pt x="527" y="18"/>
                    </a:lnTo>
                    <a:lnTo>
                      <a:pt x="518" y="18"/>
                    </a:lnTo>
                    <a:lnTo>
                      <a:pt x="518" y="18"/>
                    </a:lnTo>
                    <a:lnTo>
                      <a:pt x="518" y="18"/>
                    </a:lnTo>
                    <a:lnTo>
                      <a:pt x="518" y="18"/>
                    </a:lnTo>
                    <a:lnTo>
                      <a:pt x="518" y="9"/>
                    </a:lnTo>
                    <a:lnTo>
                      <a:pt x="518" y="9"/>
                    </a:lnTo>
                    <a:lnTo>
                      <a:pt x="518" y="9"/>
                    </a:lnTo>
                    <a:lnTo>
                      <a:pt x="518" y="9"/>
                    </a:lnTo>
                    <a:lnTo>
                      <a:pt x="518" y="9"/>
                    </a:lnTo>
                    <a:lnTo>
                      <a:pt x="509" y="9"/>
                    </a:lnTo>
                    <a:lnTo>
                      <a:pt x="509" y="9"/>
                    </a:lnTo>
                    <a:lnTo>
                      <a:pt x="509" y="9"/>
                    </a:lnTo>
                    <a:lnTo>
                      <a:pt x="509" y="9"/>
                    </a:lnTo>
                    <a:lnTo>
                      <a:pt x="500" y="9"/>
                    </a:lnTo>
                    <a:lnTo>
                      <a:pt x="500" y="9"/>
                    </a:lnTo>
                    <a:lnTo>
                      <a:pt x="500" y="9"/>
                    </a:lnTo>
                    <a:lnTo>
                      <a:pt x="500" y="9"/>
                    </a:lnTo>
                    <a:lnTo>
                      <a:pt x="500" y="9"/>
                    </a:lnTo>
                    <a:lnTo>
                      <a:pt x="491" y="9"/>
                    </a:lnTo>
                    <a:lnTo>
                      <a:pt x="491" y="9"/>
                    </a:lnTo>
                    <a:lnTo>
                      <a:pt x="491" y="9"/>
                    </a:lnTo>
                    <a:lnTo>
                      <a:pt x="491" y="9"/>
                    </a:lnTo>
                    <a:lnTo>
                      <a:pt x="491" y="9"/>
                    </a:lnTo>
                    <a:lnTo>
                      <a:pt x="491" y="9"/>
                    </a:lnTo>
                    <a:lnTo>
                      <a:pt x="482" y="9"/>
                    </a:lnTo>
                    <a:lnTo>
                      <a:pt x="482" y="9"/>
                    </a:lnTo>
                    <a:lnTo>
                      <a:pt x="482" y="9"/>
                    </a:lnTo>
                    <a:lnTo>
                      <a:pt x="473" y="9"/>
                    </a:lnTo>
                    <a:lnTo>
                      <a:pt x="473" y="0"/>
                    </a:lnTo>
                    <a:lnTo>
                      <a:pt x="473" y="0"/>
                    </a:lnTo>
                    <a:lnTo>
                      <a:pt x="464" y="0"/>
                    </a:lnTo>
                    <a:lnTo>
                      <a:pt x="464" y="0"/>
                    </a:lnTo>
                    <a:lnTo>
                      <a:pt x="464" y="0"/>
                    </a:lnTo>
                    <a:lnTo>
                      <a:pt x="455" y="0"/>
                    </a:lnTo>
                    <a:lnTo>
                      <a:pt x="455" y="0"/>
                    </a:lnTo>
                    <a:lnTo>
                      <a:pt x="455" y="0"/>
                    </a:lnTo>
                    <a:lnTo>
                      <a:pt x="446" y="0"/>
                    </a:lnTo>
                    <a:lnTo>
                      <a:pt x="446" y="0"/>
                    </a:lnTo>
                    <a:lnTo>
                      <a:pt x="446" y="0"/>
                    </a:lnTo>
                    <a:lnTo>
                      <a:pt x="438" y="0"/>
                    </a:lnTo>
                    <a:lnTo>
                      <a:pt x="438" y="0"/>
                    </a:lnTo>
                    <a:lnTo>
                      <a:pt x="438" y="0"/>
                    </a:lnTo>
                    <a:lnTo>
                      <a:pt x="438" y="0"/>
                    </a:lnTo>
                    <a:lnTo>
                      <a:pt x="429" y="0"/>
                    </a:lnTo>
                    <a:lnTo>
                      <a:pt x="429" y="0"/>
                    </a:lnTo>
                    <a:lnTo>
                      <a:pt x="429" y="0"/>
                    </a:lnTo>
                    <a:lnTo>
                      <a:pt x="429" y="0"/>
                    </a:lnTo>
                    <a:lnTo>
                      <a:pt x="429" y="0"/>
                    </a:lnTo>
                    <a:lnTo>
                      <a:pt x="420" y="0"/>
                    </a:lnTo>
                    <a:lnTo>
                      <a:pt x="420" y="0"/>
                    </a:lnTo>
                    <a:lnTo>
                      <a:pt x="420" y="9"/>
                    </a:lnTo>
                    <a:lnTo>
                      <a:pt x="420" y="9"/>
                    </a:lnTo>
                    <a:lnTo>
                      <a:pt x="411" y="9"/>
                    </a:lnTo>
                    <a:lnTo>
                      <a:pt x="411" y="9"/>
                    </a:lnTo>
                    <a:lnTo>
                      <a:pt x="411" y="9"/>
                    </a:lnTo>
                    <a:lnTo>
                      <a:pt x="411" y="9"/>
                    </a:lnTo>
                    <a:lnTo>
                      <a:pt x="411" y="9"/>
                    </a:lnTo>
                    <a:lnTo>
                      <a:pt x="411" y="9"/>
                    </a:lnTo>
                    <a:lnTo>
                      <a:pt x="402" y="9"/>
                    </a:lnTo>
                    <a:lnTo>
                      <a:pt x="402" y="9"/>
                    </a:lnTo>
                    <a:lnTo>
                      <a:pt x="402" y="9"/>
                    </a:lnTo>
                    <a:lnTo>
                      <a:pt x="402" y="18"/>
                    </a:lnTo>
                    <a:lnTo>
                      <a:pt x="402" y="18"/>
                    </a:lnTo>
                    <a:lnTo>
                      <a:pt x="402" y="18"/>
                    </a:lnTo>
                    <a:lnTo>
                      <a:pt x="402" y="18"/>
                    </a:lnTo>
                    <a:lnTo>
                      <a:pt x="402" y="18"/>
                    </a:lnTo>
                    <a:lnTo>
                      <a:pt x="402" y="27"/>
                    </a:lnTo>
                    <a:lnTo>
                      <a:pt x="402" y="27"/>
                    </a:lnTo>
                    <a:lnTo>
                      <a:pt x="402" y="27"/>
                    </a:lnTo>
                    <a:lnTo>
                      <a:pt x="402" y="27"/>
                    </a:lnTo>
                    <a:lnTo>
                      <a:pt x="402" y="36"/>
                    </a:lnTo>
                    <a:lnTo>
                      <a:pt x="402" y="36"/>
                    </a:lnTo>
                    <a:lnTo>
                      <a:pt x="402" y="36"/>
                    </a:lnTo>
                    <a:lnTo>
                      <a:pt x="411" y="36"/>
                    </a:lnTo>
                    <a:lnTo>
                      <a:pt x="411" y="36"/>
                    </a:lnTo>
                    <a:lnTo>
                      <a:pt x="411" y="45"/>
                    </a:lnTo>
                    <a:lnTo>
                      <a:pt x="411" y="45"/>
                    </a:lnTo>
                    <a:lnTo>
                      <a:pt x="411" y="45"/>
                    </a:lnTo>
                    <a:lnTo>
                      <a:pt x="411" y="45"/>
                    </a:lnTo>
                    <a:lnTo>
                      <a:pt x="411" y="45"/>
                    </a:lnTo>
                    <a:lnTo>
                      <a:pt x="411" y="54"/>
                    </a:lnTo>
                    <a:lnTo>
                      <a:pt x="411" y="54"/>
                    </a:lnTo>
                    <a:lnTo>
                      <a:pt x="411" y="45"/>
                    </a:lnTo>
                    <a:lnTo>
                      <a:pt x="420" y="45"/>
                    </a:lnTo>
                    <a:lnTo>
                      <a:pt x="420" y="45"/>
                    </a:lnTo>
                    <a:lnTo>
                      <a:pt x="420" y="45"/>
                    </a:lnTo>
                    <a:lnTo>
                      <a:pt x="420" y="45"/>
                    </a:lnTo>
                    <a:lnTo>
                      <a:pt x="420" y="45"/>
                    </a:lnTo>
                    <a:lnTo>
                      <a:pt x="429" y="45"/>
                    </a:lnTo>
                    <a:lnTo>
                      <a:pt x="429" y="45"/>
                    </a:lnTo>
                    <a:lnTo>
                      <a:pt x="429" y="45"/>
                    </a:lnTo>
                    <a:lnTo>
                      <a:pt x="429" y="54"/>
                    </a:lnTo>
                    <a:lnTo>
                      <a:pt x="429" y="54"/>
                    </a:lnTo>
                    <a:lnTo>
                      <a:pt x="429" y="54"/>
                    </a:lnTo>
                    <a:lnTo>
                      <a:pt x="429" y="54"/>
                    </a:lnTo>
                    <a:lnTo>
                      <a:pt x="429" y="54"/>
                    </a:lnTo>
                    <a:lnTo>
                      <a:pt x="429" y="54"/>
                    </a:lnTo>
                    <a:lnTo>
                      <a:pt x="429" y="54"/>
                    </a:lnTo>
                    <a:lnTo>
                      <a:pt x="429" y="54"/>
                    </a:lnTo>
                    <a:lnTo>
                      <a:pt x="429" y="54"/>
                    </a:lnTo>
                    <a:lnTo>
                      <a:pt x="438" y="54"/>
                    </a:lnTo>
                    <a:lnTo>
                      <a:pt x="438" y="54"/>
                    </a:lnTo>
                    <a:lnTo>
                      <a:pt x="438" y="54"/>
                    </a:lnTo>
                    <a:lnTo>
                      <a:pt x="446" y="54"/>
                    </a:lnTo>
                    <a:lnTo>
                      <a:pt x="446" y="54"/>
                    </a:lnTo>
                    <a:lnTo>
                      <a:pt x="446" y="54"/>
                    </a:lnTo>
                    <a:lnTo>
                      <a:pt x="446" y="54"/>
                    </a:lnTo>
                    <a:lnTo>
                      <a:pt x="446" y="54"/>
                    </a:lnTo>
                    <a:lnTo>
                      <a:pt x="446" y="63"/>
                    </a:lnTo>
                    <a:lnTo>
                      <a:pt x="446" y="63"/>
                    </a:lnTo>
                    <a:lnTo>
                      <a:pt x="446" y="63"/>
                    </a:lnTo>
                    <a:lnTo>
                      <a:pt x="446" y="63"/>
                    </a:lnTo>
                    <a:lnTo>
                      <a:pt x="455" y="72"/>
                    </a:lnTo>
                    <a:lnTo>
                      <a:pt x="455" y="72"/>
                    </a:lnTo>
                    <a:lnTo>
                      <a:pt x="455" y="72"/>
                    </a:lnTo>
                    <a:lnTo>
                      <a:pt x="455" y="72"/>
                    </a:lnTo>
                    <a:lnTo>
                      <a:pt x="455" y="72"/>
                    </a:lnTo>
                    <a:lnTo>
                      <a:pt x="455" y="72"/>
                    </a:lnTo>
                    <a:lnTo>
                      <a:pt x="455" y="80"/>
                    </a:lnTo>
                    <a:lnTo>
                      <a:pt x="455" y="80"/>
                    </a:lnTo>
                    <a:lnTo>
                      <a:pt x="464" y="80"/>
                    </a:lnTo>
                    <a:lnTo>
                      <a:pt x="455" y="80"/>
                    </a:lnTo>
                    <a:lnTo>
                      <a:pt x="455" y="80"/>
                    </a:lnTo>
                    <a:lnTo>
                      <a:pt x="455" y="80"/>
                    </a:lnTo>
                    <a:lnTo>
                      <a:pt x="455" y="80"/>
                    </a:lnTo>
                    <a:lnTo>
                      <a:pt x="455" y="89"/>
                    </a:lnTo>
                    <a:lnTo>
                      <a:pt x="455" y="89"/>
                    </a:lnTo>
                    <a:lnTo>
                      <a:pt x="455" y="89"/>
                    </a:lnTo>
                    <a:lnTo>
                      <a:pt x="455" y="89"/>
                    </a:lnTo>
                    <a:lnTo>
                      <a:pt x="446" y="89"/>
                    </a:lnTo>
                    <a:lnTo>
                      <a:pt x="446" y="89"/>
                    </a:lnTo>
                    <a:lnTo>
                      <a:pt x="446" y="89"/>
                    </a:lnTo>
                    <a:lnTo>
                      <a:pt x="446" y="89"/>
                    </a:lnTo>
                    <a:lnTo>
                      <a:pt x="446" y="89"/>
                    </a:lnTo>
                    <a:lnTo>
                      <a:pt x="446" y="89"/>
                    </a:lnTo>
                    <a:lnTo>
                      <a:pt x="446" y="89"/>
                    </a:lnTo>
                    <a:lnTo>
                      <a:pt x="446" y="89"/>
                    </a:lnTo>
                    <a:lnTo>
                      <a:pt x="446" y="98"/>
                    </a:lnTo>
                    <a:lnTo>
                      <a:pt x="446" y="98"/>
                    </a:lnTo>
                    <a:lnTo>
                      <a:pt x="446" y="98"/>
                    </a:lnTo>
                    <a:lnTo>
                      <a:pt x="438" y="98"/>
                    </a:lnTo>
                    <a:lnTo>
                      <a:pt x="438" y="107"/>
                    </a:lnTo>
                    <a:lnTo>
                      <a:pt x="438" y="107"/>
                    </a:lnTo>
                    <a:lnTo>
                      <a:pt x="438" y="107"/>
                    </a:lnTo>
                    <a:lnTo>
                      <a:pt x="438" y="107"/>
                    </a:lnTo>
                    <a:lnTo>
                      <a:pt x="438" y="116"/>
                    </a:lnTo>
                    <a:lnTo>
                      <a:pt x="438" y="116"/>
                    </a:lnTo>
                    <a:lnTo>
                      <a:pt x="438" y="116"/>
                    </a:lnTo>
                    <a:lnTo>
                      <a:pt x="438" y="125"/>
                    </a:lnTo>
                    <a:lnTo>
                      <a:pt x="438" y="125"/>
                    </a:lnTo>
                    <a:lnTo>
                      <a:pt x="438" y="125"/>
                    </a:lnTo>
                    <a:lnTo>
                      <a:pt x="438" y="134"/>
                    </a:lnTo>
                    <a:lnTo>
                      <a:pt x="438" y="134"/>
                    </a:lnTo>
                    <a:lnTo>
                      <a:pt x="438" y="134"/>
                    </a:lnTo>
                    <a:lnTo>
                      <a:pt x="438" y="134"/>
                    </a:lnTo>
                    <a:lnTo>
                      <a:pt x="429" y="134"/>
                    </a:lnTo>
                    <a:lnTo>
                      <a:pt x="429" y="134"/>
                    </a:lnTo>
                    <a:lnTo>
                      <a:pt x="420" y="134"/>
                    </a:lnTo>
                    <a:lnTo>
                      <a:pt x="420" y="134"/>
                    </a:lnTo>
                    <a:lnTo>
                      <a:pt x="420" y="134"/>
                    </a:lnTo>
                    <a:lnTo>
                      <a:pt x="411" y="134"/>
                    </a:lnTo>
                    <a:lnTo>
                      <a:pt x="411" y="134"/>
                    </a:lnTo>
                    <a:lnTo>
                      <a:pt x="411" y="134"/>
                    </a:lnTo>
                    <a:lnTo>
                      <a:pt x="411" y="134"/>
                    </a:lnTo>
                    <a:lnTo>
                      <a:pt x="411" y="134"/>
                    </a:lnTo>
                    <a:lnTo>
                      <a:pt x="411" y="134"/>
                    </a:lnTo>
                    <a:lnTo>
                      <a:pt x="402" y="143"/>
                    </a:lnTo>
                    <a:lnTo>
                      <a:pt x="402" y="143"/>
                    </a:lnTo>
                    <a:lnTo>
                      <a:pt x="402" y="143"/>
                    </a:lnTo>
                    <a:lnTo>
                      <a:pt x="402" y="143"/>
                    </a:lnTo>
                    <a:lnTo>
                      <a:pt x="402" y="143"/>
                    </a:lnTo>
                    <a:lnTo>
                      <a:pt x="393" y="143"/>
                    </a:lnTo>
                    <a:lnTo>
                      <a:pt x="393" y="143"/>
                    </a:lnTo>
                    <a:lnTo>
                      <a:pt x="393" y="143"/>
                    </a:lnTo>
                    <a:lnTo>
                      <a:pt x="393" y="134"/>
                    </a:lnTo>
                    <a:lnTo>
                      <a:pt x="384" y="134"/>
                    </a:lnTo>
                    <a:lnTo>
                      <a:pt x="384" y="134"/>
                    </a:lnTo>
                    <a:lnTo>
                      <a:pt x="384" y="134"/>
                    </a:lnTo>
                    <a:lnTo>
                      <a:pt x="384" y="134"/>
                    </a:lnTo>
                    <a:lnTo>
                      <a:pt x="384" y="143"/>
                    </a:lnTo>
                    <a:lnTo>
                      <a:pt x="384" y="143"/>
                    </a:lnTo>
                    <a:lnTo>
                      <a:pt x="384" y="143"/>
                    </a:lnTo>
                    <a:lnTo>
                      <a:pt x="375" y="143"/>
                    </a:lnTo>
                    <a:lnTo>
                      <a:pt x="375" y="143"/>
                    </a:lnTo>
                    <a:lnTo>
                      <a:pt x="375" y="143"/>
                    </a:lnTo>
                    <a:lnTo>
                      <a:pt x="375" y="143"/>
                    </a:lnTo>
                    <a:lnTo>
                      <a:pt x="375" y="143"/>
                    </a:lnTo>
                    <a:lnTo>
                      <a:pt x="366" y="143"/>
                    </a:lnTo>
                    <a:lnTo>
                      <a:pt x="366" y="143"/>
                    </a:lnTo>
                    <a:lnTo>
                      <a:pt x="366" y="143"/>
                    </a:lnTo>
                    <a:lnTo>
                      <a:pt x="366" y="152"/>
                    </a:lnTo>
                    <a:lnTo>
                      <a:pt x="357" y="152"/>
                    </a:lnTo>
                    <a:lnTo>
                      <a:pt x="357" y="152"/>
                    </a:lnTo>
                    <a:lnTo>
                      <a:pt x="357" y="152"/>
                    </a:lnTo>
                    <a:lnTo>
                      <a:pt x="357" y="152"/>
                    </a:lnTo>
                    <a:lnTo>
                      <a:pt x="348" y="152"/>
                    </a:lnTo>
                    <a:lnTo>
                      <a:pt x="348" y="152"/>
                    </a:lnTo>
                    <a:lnTo>
                      <a:pt x="348" y="161"/>
                    </a:lnTo>
                    <a:lnTo>
                      <a:pt x="348" y="161"/>
                    </a:lnTo>
                    <a:lnTo>
                      <a:pt x="339" y="161"/>
                    </a:lnTo>
                    <a:lnTo>
                      <a:pt x="339" y="161"/>
                    </a:lnTo>
                    <a:lnTo>
                      <a:pt x="339" y="161"/>
                    </a:lnTo>
                    <a:lnTo>
                      <a:pt x="339" y="161"/>
                    </a:lnTo>
                    <a:lnTo>
                      <a:pt x="330" y="161"/>
                    </a:lnTo>
                    <a:lnTo>
                      <a:pt x="330" y="170"/>
                    </a:lnTo>
                    <a:lnTo>
                      <a:pt x="330" y="170"/>
                    </a:lnTo>
                    <a:lnTo>
                      <a:pt x="321" y="170"/>
                    </a:lnTo>
                    <a:lnTo>
                      <a:pt x="321" y="170"/>
                    </a:lnTo>
                    <a:lnTo>
                      <a:pt x="321" y="170"/>
                    </a:lnTo>
                    <a:lnTo>
                      <a:pt x="321" y="170"/>
                    </a:lnTo>
                    <a:lnTo>
                      <a:pt x="312" y="170"/>
                    </a:lnTo>
                    <a:lnTo>
                      <a:pt x="312" y="170"/>
                    </a:lnTo>
                    <a:lnTo>
                      <a:pt x="312" y="170"/>
                    </a:lnTo>
                    <a:lnTo>
                      <a:pt x="312" y="170"/>
                    </a:lnTo>
                    <a:lnTo>
                      <a:pt x="312" y="170"/>
                    </a:lnTo>
                    <a:lnTo>
                      <a:pt x="304" y="170"/>
                    </a:lnTo>
                    <a:lnTo>
                      <a:pt x="304" y="161"/>
                    </a:lnTo>
                    <a:lnTo>
                      <a:pt x="304" y="170"/>
                    </a:lnTo>
                    <a:lnTo>
                      <a:pt x="304" y="170"/>
                    </a:lnTo>
                    <a:lnTo>
                      <a:pt x="295" y="170"/>
                    </a:lnTo>
                    <a:lnTo>
                      <a:pt x="295" y="170"/>
                    </a:lnTo>
                    <a:lnTo>
                      <a:pt x="295" y="170"/>
                    </a:lnTo>
                    <a:lnTo>
                      <a:pt x="295" y="170"/>
                    </a:lnTo>
                    <a:lnTo>
                      <a:pt x="286" y="170"/>
                    </a:lnTo>
                    <a:lnTo>
                      <a:pt x="286" y="170"/>
                    </a:lnTo>
                    <a:lnTo>
                      <a:pt x="286" y="170"/>
                    </a:lnTo>
                    <a:lnTo>
                      <a:pt x="286" y="170"/>
                    </a:lnTo>
                    <a:lnTo>
                      <a:pt x="286" y="170"/>
                    </a:lnTo>
                    <a:lnTo>
                      <a:pt x="286" y="170"/>
                    </a:lnTo>
                    <a:lnTo>
                      <a:pt x="286" y="179"/>
                    </a:lnTo>
                    <a:lnTo>
                      <a:pt x="277" y="179"/>
                    </a:lnTo>
                    <a:lnTo>
                      <a:pt x="277" y="179"/>
                    </a:lnTo>
                    <a:lnTo>
                      <a:pt x="277" y="179"/>
                    </a:lnTo>
                    <a:lnTo>
                      <a:pt x="277" y="179"/>
                    </a:lnTo>
                    <a:lnTo>
                      <a:pt x="277" y="179"/>
                    </a:lnTo>
                    <a:lnTo>
                      <a:pt x="268" y="179"/>
                    </a:lnTo>
                    <a:lnTo>
                      <a:pt x="268" y="179"/>
                    </a:lnTo>
                    <a:lnTo>
                      <a:pt x="259" y="179"/>
                    </a:lnTo>
                    <a:lnTo>
                      <a:pt x="259" y="179"/>
                    </a:lnTo>
                    <a:lnTo>
                      <a:pt x="259" y="179"/>
                    </a:lnTo>
                    <a:lnTo>
                      <a:pt x="250" y="179"/>
                    </a:lnTo>
                    <a:lnTo>
                      <a:pt x="250" y="179"/>
                    </a:lnTo>
                    <a:lnTo>
                      <a:pt x="250" y="179"/>
                    </a:lnTo>
                    <a:lnTo>
                      <a:pt x="241" y="179"/>
                    </a:lnTo>
                    <a:lnTo>
                      <a:pt x="241" y="179"/>
                    </a:lnTo>
                    <a:lnTo>
                      <a:pt x="232" y="179"/>
                    </a:lnTo>
                    <a:lnTo>
                      <a:pt x="232" y="179"/>
                    </a:lnTo>
                    <a:lnTo>
                      <a:pt x="232" y="179"/>
                    </a:lnTo>
                    <a:lnTo>
                      <a:pt x="223" y="179"/>
                    </a:lnTo>
                    <a:lnTo>
                      <a:pt x="223" y="179"/>
                    </a:lnTo>
                    <a:lnTo>
                      <a:pt x="223" y="179"/>
                    </a:lnTo>
                    <a:lnTo>
                      <a:pt x="223" y="179"/>
                    </a:lnTo>
                    <a:lnTo>
                      <a:pt x="223" y="188"/>
                    </a:lnTo>
                    <a:lnTo>
                      <a:pt x="223" y="188"/>
                    </a:lnTo>
                    <a:lnTo>
                      <a:pt x="223" y="188"/>
                    </a:lnTo>
                    <a:lnTo>
                      <a:pt x="223" y="188"/>
                    </a:lnTo>
                    <a:lnTo>
                      <a:pt x="223" y="188"/>
                    </a:lnTo>
                    <a:lnTo>
                      <a:pt x="223" y="197"/>
                    </a:lnTo>
                    <a:lnTo>
                      <a:pt x="223" y="197"/>
                    </a:lnTo>
                    <a:lnTo>
                      <a:pt x="223" y="197"/>
                    </a:lnTo>
                    <a:lnTo>
                      <a:pt x="223" y="197"/>
                    </a:lnTo>
                    <a:lnTo>
                      <a:pt x="223" y="205"/>
                    </a:lnTo>
                    <a:lnTo>
                      <a:pt x="223" y="205"/>
                    </a:lnTo>
                    <a:lnTo>
                      <a:pt x="223" y="205"/>
                    </a:lnTo>
                    <a:lnTo>
                      <a:pt x="223" y="214"/>
                    </a:lnTo>
                    <a:lnTo>
                      <a:pt x="223" y="214"/>
                    </a:lnTo>
                    <a:lnTo>
                      <a:pt x="223" y="214"/>
                    </a:lnTo>
                    <a:lnTo>
                      <a:pt x="223" y="214"/>
                    </a:lnTo>
                    <a:lnTo>
                      <a:pt x="223" y="214"/>
                    </a:lnTo>
                    <a:lnTo>
                      <a:pt x="223" y="223"/>
                    </a:lnTo>
                    <a:lnTo>
                      <a:pt x="223" y="223"/>
                    </a:lnTo>
                    <a:lnTo>
                      <a:pt x="223" y="223"/>
                    </a:lnTo>
                    <a:lnTo>
                      <a:pt x="223" y="223"/>
                    </a:lnTo>
                    <a:lnTo>
                      <a:pt x="223" y="223"/>
                    </a:lnTo>
                    <a:lnTo>
                      <a:pt x="223" y="232"/>
                    </a:lnTo>
                    <a:lnTo>
                      <a:pt x="232" y="232"/>
                    </a:lnTo>
                    <a:lnTo>
                      <a:pt x="232" y="232"/>
                    </a:lnTo>
                    <a:lnTo>
                      <a:pt x="232" y="232"/>
                    </a:lnTo>
                    <a:lnTo>
                      <a:pt x="232" y="232"/>
                    </a:lnTo>
                    <a:lnTo>
                      <a:pt x="232" y="232"/>
                    </a:lnTo>
                    <a:lnTo>
                      <a:pt x="232" y="232"/>
                    </a:lnTo>
                    <a:lnTo>
                      <a:pt x="232" y="241"/>
                    </a:lnTo>
                    <a:lnTo>
                      <a:pt x="232" y="241"/>
                    </a:lnTo>
                    <a:lnTo>
                      <a:pt x="232" y="241"/>
                    </a:lnTo>
                    <a:lnTo>
                      <a:pt x="241" y="241"/>
                    </a:lnTo>
                    <a:lnTo>
                      <a:pt x="241" y="241"/>
                    </a:lnTo>
                    <a:lnTo>
                      <a:pt x="241" y="241"/>
                    </a:lnTo>
                    <a:lnTo>
                      <a:pt x="241" y="250"/>
                    </a:lnTo>
                    <a:lnTo>
                      <a:pt x="241" y="250"/>
                    </a:lnTo>
                    <a:lnTo>
                      <a:pt x="241" y="250"/>
                    </a:lnTo>
                    <a:lnTo>
                      <a:pt x="241" y="250"/>
                    </a:lnTo>
                    <a:lnTo>
                      <a:pt x="241" y="259"/>
                    </a:lnTo>
                    <a:lnTo>
                      <a:pt x="241" y="259"/>
                    </a:lnTo>
                    <a:lnTo>
                      <a:pt x="241" y="259"/>
                    </a:lnTo>
                    <a:lnTo>
                      <a:pt x="241" y="259"/>
                    </a:lnTo>
                    <a:lnTo>
                      <a:pt x="250" y="268"/>
                    </a:lnTo>
                    <a:lnTo>
                      <a:pt x="250" y="268"/>
                    </a:lnTo>
                    <a:lnTo>
                      <a:pt x="250" y="268"/>
                    </a:lnTo>
                    <a:lnTo>
                      <a:pt x="250" y="277"/>
                    </a:lnTo>
                    <a:lnTo>
                      <a:pt x="241" y="277"/>
                    </a:lnTo>
                    <a:lnTo>
                      <a:pt x="241" y="286"/>
                    </a:lnTo>
                    <a:lnTo>
                      <a:pt x="241" y="286"/>
                    </a:lnTo>
                    <a:lnTo>
                      <a:pt x="241" y="286"/>
                    </a:lnTo>
                    <a:lnTo>
                      <a:pt x="241" y="295"/>
                    </a:lnTo>
                    <a:lnTo>
                      <a:pt x="241" y="295"/>
                    </a:lnTo>
                    <a:lnTo>
                      <a:pt x="241" y="304"/>
                    </a:lnTo>
                    <a:lnTo>
                      <a:pt x="241" y="304"/>
                    </a:lnTo>
                    <a:lnTo>
                      <a:pt x="241" y="304"/>
                    </a:lnTo>
                    <a:lnTo>
                      <a:pt x="241" y="313"/>
                    </a:lnTo>
                    <a:lnTo>
                      <a:pt x="241" y="313"/>
                    </a:lnTo>
                    <a:lnTo>
                      <a:pt x="232" y="322"/>
                    </a:lnTo>
                    <a:lnTo>
                      <a:pt x="232" y="322"/>
                    </a:lnTo>
                    <a:lnTo>
                      <a:pt x="232" y="330"/>
                    </a:lnTo>
                    <a:lnTo>
                      <a:pt x="232" y="330"/>
                    </a:lnTo>
                    <a:lnTo>
                      <a:pt x="232" y="330"/>
                    </a:lnTo>
                    <a:lnTo>
                      <a:pt x="232" y="339"/>
                    </a:lnTo>
                    <a:lnTo>
                      <a:pt x="232" y="339"/>
                    </a:lnTo>
                    <a:lnTo>
                      <a:pt x="232" y="339"/>
                    </a:lnTo>
                    <a:lnTo>
                      <a:pt x="223" y="348"/>
                    </a:lnTo>
                    <a:lnTo>
                      <a:pt x="223" y="348"/>
                    </a:lnTo>
                    <a:lnTo>
                      <a:pt x="223" y="348"/>
                    </a:lnTo>
                    <a:lnTo>
                      <a:pt x="223" y="348"/>
                    </a:lnTo>
                    <a:lnTo>
                      <a:pt x="223" y="357"/>
                    </a:lnTo>
                    <a:lnTo>
                      <a:pt x="223" y="357"/>
                    </a:lnTo>
                    <a:lnTo>
                      <a:pt x="223" y="357"/>
                    </a:lnTo>
                    <a:lnTo>
                      <a:pt x="223" y="357"/>
                    </a:lnTo>
                    <a:lnTo>
                      <a:pt x="223" y="357"/>
                    </a:lnTo>
                    <a:lnTo>
                      <a:pt x="223" y="357"/>
                    </a:lnTo>
                    <a:lnTo>
                      <a:pt x="223" y="357"/>
                    </a:lnTo>
                    <a:lnTo>
                      <a:pt x="214" y="366"/>
                    </a:lnTo>
                    <a:lnTo>
                      <a:pt x="214" y="366"/>
                    </a:lnTo>
                    <a:lnTo>
                      <a:pt x="214" y="366"/>
                    </a:lnTo>
                    <a:lnTo>
                      <a:pt x="214" y="366"/>
                    </a:lnTo>
                    <a:lnTo>
                      <a:pt x="205" y="366"/>
                    </a:lnTo>
                    <a:lnTo>
                      <a:pt x="205" y="366"/>
                    </a:lnTo>
                    <a:lnTo>
                      <a:pt x="205" y="366"/>
                    </a:lnTo>
                    <a:lnTo>
                      <a:pt x="205" y="366"/>
                    </a:lnTo>
                    <a:lnTo>
                      <a:pt x="196" y="366"/>
                    </a:lnTo>
                    <a:lnTo>
                      <a:pt x="196" y="366"/>
                    </a:lnTo>
                    <a:lnTo>
                      <a:pt x="196" y="366"/>
                    </a:lnTo>
                    <a:lnTo>
                      <a:pt x="196" y="375"/>
                    </a:lnTo>
                    <a:lnTo>
                      <a:pt x="196" y="375"/>
                    </a:lnTo>
                    <a:lnTo>
                      <a:pt x="187" y="375"/>
                    </a:lnTo>
                    <a:lnTo>
                      <a:pt x="187" y="375"/>
                    </a:lnTo>
                    <a:lnTo>
                      <a:pt x="187" y="375"/>
                    </a:lnTo>
                    <a:lnTo>
                      <a:pt x="187" y="375"/>
                    </a:lnTo>
                    <a:lnTo>
                      <a:pt x="187" y="375"/>
                    </a:lnTo>
                    <a:lnTo>
                      <a:pt x="187" y="384"/>
                    </a:lnTo>
                    <a:lnTo>
                      <a:pt x="187" y="384"/>
                    </a:lnTo>
                    <a:lnTo>
                      <a:pt x="178" y="384"/>
                    </a:lnTo>
                    <a:lnTo>
                      <a:pt x="178" y="384"/>
                    </a:lnTo>
                    <a:lnTo>
                      <a:pt x="178" y="384"/>
                    </a:lnTo>
                    <a:lnTo>
                      <a:pt x="178" y="384"/>
                    </a:lnTo>
                    <a:lnTo>
                      <a:pt x="178" y="393"/>
                    </a:lnTo>
                    <a:lnTo>
                      <a:pt x="178" y="393"/>
                    </a:lnTo>
                    <a:lnTo>
                      <a:pt x="178" y="393"/>
                    </a:lnTo>
                    <a:lnTo>
                      <a:pt x="178" y="393"/>
                    </a:lnTo>
                    <a:lnTo>
                      <a:pt x="178" y="393"/>
                    </a:lnTo>
                    <a:lnTo>
                      <a:pt x="178" y="402"/>
                    </a:lnTo>
                    <a:lnTo>
                      <a:pt x="178" y="402"/>
                    </a:lnTo>
                    <a:lnTo>
                      <a:pt x="178" y="402"/>
                    </a:lnTo>
                    <a:lnTo>
                      <a:pt x="178" y="402"/>
                    </a:lnTo>
                    <a:lnTo>
                      <a:pt x="178" y="402"/>
                    </a:lnTo>
                    <a:lnTo>
                      <a:pt x="178" y="411"/>
                    </a:lnTo>
                    <a:lnTo>
                      <a:pt x="178" y="411"/>
                    </a:lnTo>
                    <a:lnTo>
                      <a:pt x="178" y="411"/>
                    </a:lnTo>
                    <a:lnTo>
                      <a:pt x="178" y="411"/>
                    </a:lnTo>
                    <a:lnTo>
                      <a:pt x="178" y="411"/>
                    </a:lnTo>
                    <a:lnTo>
                      <a:pt x="178" y="420"/>
                    </a:lnTo>
                    <a:lnTo>
                      <a:pt x="187" y="420"/>
                    </a:lnTo>
                    <a:lnTo>
                      <a:pt x="187" y="420"/>
                    </a:lnTo>
                    <a:lnTo>
                      <a:pt x="187" y="420"/>
                    </a:lnTo>
                    <a:lnTo>
                      <a:pt x="187" y="420"/>
                    </a:lnTo>
                    <a:lnTo>
                      <a:pt x="187" y="420"/>
                    </a:lnTo>
                    <a:lnTo>
                      <a:pt x="187" y="420"/>
                    </a:lnTo>
                    <a:lnTo>
                      <a:pt x="196" y="420"/>
                    </a:lnTo>
                    <a:lnTo>
                      <a:pt x="196" y="420"/>
                    </a:lnTo>
                    <a:lnTo>
                      <a:pt x="196" y="420"/>
                    </a:lnTo>
                    <a:lnTo>
                      <a:pt x="196" y="420"/>
                    </a:lnTo>
                    <a:lnTo>
                      <a:pt x="196" y="420"/>
                    </a:lnTo>
                    <a:lnTo>
                      <a:pt x="196" y="429"/>
                    </a:lnTo>
                    <a:lnTo>
                      <a:pt x="196" y="429"/>
                    </a:lnTo>
                    <a:lnTo>
                      <a:pt x="196" y="429"/>
                    </a:lnTo>
                    <a:lnTo>
                      <a:pt x="196" y="429"/>
                    </a:lnTo>
                    <a:lnTo>
                      <a:pt x="196" y="429"/>
                    </a:lnTo>
                    <a:lnTo>
                      <a:pt x="196" y="438"/>
                    </a:lnTo>
                    <a:lnTo>
                      <a:pt x="196" y="438"/>
                    </a:lnTo>
                    <a:lnTo>
                      <a:pt x="196" y="438"/>
                    </a:lnTo>
                    <a:lnTo>
                      <a:pt x="196" y="438"/>
                    </a:lnTo>
                    <a:lnTo>
                      <a:pt x="196" y="447"/>
                    </a:lnTo>
                    <a:lnTo>
                      <a:pt x="196" y="447"/>
                    </a:lnTo>
                    <a:lnTo>
                      <a:pt x="196" y="447"/>
                    </a:lnTo>
                    <a:lnTo>
                      <a:pt x="196" y="455"/>
                    </a:lnTo>
                    <a:lnTo>
                      <a:pt x="196" y="455"/>
                    </a:lnTo>
                    <a:lnTo>
                      <a:pt x="196" y="455"/>
                    </a:lnTo>
                    <a:lnTo>
                      <a:pt x="187" y="455"/>
                    </a:lnTo>
                    <a:lnTo>
                      <a:pt x="187" y="455"/>
                    </a:lnTo>
                    <a:lnTo>
                      <a:pt x="187" y="455"/>
                    </a:lnTo>
                    <a:lnTo>
                      <a:pt x="187" y="455"/>
                    </a:lnTo>
                    <a:lnTo>
                      <a:pt x="187" y="455"/>
                    </a:lnTo>
                    <a:lnTo>
                      <a:pt x="178" y="455"/>
                    </a:lnTo>
                    <a:lnTo>
                      <a:pt x="178" y="455"/>
                    </a:lnTo>
                    <a:lnTo>
                      <a:pt x="178" y="455"/>
                    </a:lnTo>
                    <a:lnTo>
                      <a:pt x="178" y="455"/>
                    </a:lnTo>
                    <a:lnTo>
                      <a:pt x="178" y="455"/>
                    </a:lnTo>
                    <a:lnTo>
                      <a:pt x="178" y="455"/>
                    </a:lnTo>
                    <a:lnTo>
                      <a:pt x="178" y="455"/>
                    </a:lnTo>
                    <a:lnTo>
                      <a:pt x="178" y="455"/>
                    </a:lnTo>
                    <a:lnTo>
                      <a:pt x="170" y="455"/>
                    </a:lnTo>
                    <a:lnTo>
                      <a:pt x="178" y="464"/>
                    </a:lnTo>
                    <a:lnTo>
                      <a:pt x="178" y="464"/>
                    </a:lnTo>
                    <a:lnTo>
                      <a:pt x="178" y="464"/>
                    </a:lnTo>
                    <a:lnTo>
                      <a:pt x="178" y="464"/>
                    </a:lnTo>
                    <a:lnTo>
                      <a:pt x="178" y="473"/>
                    </a:lnTo>
                    <a:lnTo>
                      <a:pt x="178" y="473"/>
                    </a:lnTo>
                    <a:lnTo>
                      <a:pt x="178" y="473"/>
                    </a:lnTo>
                    <a:lnTo>
                      <a:pt x="178" y="473"/>
                    </a:lnTo>
                    <a:lnTo>
                      <a:pt x="178" y="473"/>
                    </a:lnTo>
                    <a:lnTo>
                      <a:pt x="178" y="482"/>
                    </a:lnTo>
                    <a:lnTo>
                      <a:pt x="187" y="482"/>
                    </a:lnTo>
                    <a:lnTo>
                      <a:pt x="187" y="482"/>
                    </a:lnTo>
                    <a:lnTo>
                      <a:pt x="187" y="482"/>
                    </a:lnTo>
                    <a:lnTo>
                      <a:pt x="187" y="491"/>
                    </a:lnTo>
                    <a:lnTo>
                      <a:pt x="187" y="491"/>
                    </a:lnTo>
                    <a:lnTo>
                      <a:pt x="187" y="491"/>
                    </a:lnTo>
                    <a:lnTo>
                      <a:pt x="187" y="491"/>
                    </a:lnTo>
                    <a:lnTo>
                      <a:pt x="187" y="500"/>
                    </a:lnTo>
                    <a:lnTo>
                      <a:pt x="187" y="500"/>
                    </a:lnTo>
                    <a:lnTo>
                      <a:pt x="187" y="500"/>
                    </a:lnTo>
                    <a:lnTo>
                      <a:pt x="187" y="500"/>
                    </a:lnTo>
                    <a:lnTo>
                      <a:pt x="187" y="509"/>
                    </a:lnTo>
                    <a:lnTo>
                      <a:pt x="187" y="509"/>
                    </a:lnTo>
                    <a:lnTo>
                      <a:pt x="187" y="509"/>
                    </a:lnTo>
                    <a:lnTo>
                      <a:pt x="187" y="509"/>
                    </a:lnTo>
                    <a:lnTo>
                      <a:pt x="187" y="509"/>
                    </a:lnTo>
                    <a:lnTo>
                      <a:pt x="187" y="509"/>
                    </a:lnTo>
                    <a:lnTo>
                      <a:pt x="187" y="509"/>
                    </a:lnTo>
                    <a:lnTo>
                      <a:pt x="178" y="509"/>
                    </a:lnTo>
                    <a:lnTo>
                      <a:pt x="178" y="509"/>
                    </a:lnTo>
                    <a:lnTo>
                      <a:pt x="178" y="509"/>
                    </a:lnTo>
                    <a:lnTo>
                      <a:pt x="178" y="509"/>
                    </a:lnTo>
                    <a:lnTo>
                      <a:pt x="178" y="509"/>
                    </a:lnTo>
                    <a:lnTo>
                      <a:pt x="170" y="509"/>
                    </a:lnTo>
                    <a:lnTo>
                      <a:pt x="170" y="509"/>
                    </a:lnTo>
                    <a:lnTo>
                      <a:pt x="170" y="509"/>
                    </a:lnTo>
                    <a:lnTo>
                      <a:pt x="161" y="509"/>
                    </a:lnTo>
                    <a:lnTo>
                      <a:pt x="161" y="500"/>
                    </a:lnTo>
                    <a:lnTo>
                      <a:pt x="161" y="500"/>
                    </a:lnTo>
                    <a:lnTo>
                      <a:pt x="152" y="500"/>
                    </a:lnTo>
                    <a:lnTo>
                      <a:pt x="152" y="509"/>
                    </a:lnTo>
                    <a:lnTo>
                      <a:pt x="152" y="509"/>
                    </a:lnTo>
                    <a:lnTo>
                      <a:pt x="143" y="509"/>
                    </a:lnTo>
                    <a:lnTo>
                      <a:pt x="143" y="509"/>
                    </a:lnTo>
                    <a:lnTo>
                      <a:pt x="143" y="509"/>
                    </a:lnTo>
                    <a:lnTo>
                      <a:pt x="134" y="509"/>
                    </a:lnTo>
                    <a:lnTo>
                      <a:pt x="134" y="518"/>
                    </a:lnTo>
                    <a:lnTo>
                      <a:pt x="134" y="518"/>
                    </a:lnTo>
                    <a:lnTo>
                      <a:pt x="125" y="518"/>
                    </a:lnTo>
                    <a:lnTo>
                      <a:pt x="125" y="518"/>
                    </a:lnTo>
                    <a:lnTo>
                      <a:pt x="125" y="509"/>
                    </a:lnTo>
                    <a:lnTo>
                      <a:pt x="125" y="509"/>
                    </a:lnTo>
                    <a:lnTo>
                      <a:pt x="116" y="509"/>
                    </a:lnTo>
                    <a:lnTo>
                      <a:pt x="116" y="509"/>
                    </a:lnTo>
                    <a:lnTo>
                      <a:pt x="116" y="509"/>
                    </a:lnTo>
                    <a:lnTo>
                      <a:pt x="116" y="509"/>
                    </a:lnTo>
                    <a:lnTo>
                      <a:pt x="107" y="509"/>
                    </a:lnTo>
                    <a:lnTo>
                      <a:pt x="107" y="509"/>
                    </a:lnTo>
                    <a:lnTo>
                      <a:pt x="107" y="509"/>
                    </a:lnTo>
                    <a:lnTo>
                      <a:pt x="107" y="509"/>
                    </a:lnTo>
                    <a:lnTo>
                      <a:pt x="107" y="509"/>
                    </a:lnTo>
                    <a:lnTo>
                      <a:pt x="107" y="509"/>
                    </a:lnTo>
                    <a:lnTo>
                      <a:pt x="107" y="509"/>
                    </a:lnTo>
                    <a:lnTo>
                      <a:pt x="98" y="509"/>
                    </a:lnTo>
                    <a:lnTo>
                      <a:pt x="98" y="509"/>
                    </a:lnTo>
                    <a:lnTo>
                      <a:pt x="98" y="509"/>
                    </a:lnTo>
                    <a:lnTo>
                      <a:pt x="98" y="509"/>
                    </a:lnTo>
                    <a:lnTo>
                      <a:pt x="98" y="509"/>
                    </a:lnTo>
                    <a:lnTo>
                      <a:pt x="89" y="509"/>
                    </a:lnTo>
                    <a:lnTo>
                      <a:pt x="89" y="509"/>
                    </a:lnTo>
                    <a:lnTo>
                      <a:pt x="89" y="509"/>
                    </a:lnTo>
                    <a:lnTo>
                      <a:pt x="89" y="509"/>
                    </a:lnTo>
                    <a:lnTo>
                      <a:pt x="89" y="509"/>
                    </a:lnTo>
                    <a:lnTo>
                      <a:pt x="89" y="509"/>
                    </a:lnTo>
                    <a:lnTo>
                      <a:pt x="89" y="509"/>
                    </a:lnTo>
                    <a:lnTo>
                      <a:pt x="89" y="509"/>
                    </a:lnTo>
                    <a:lnTo>
                      <a:pt x="89" y="518"/>
                    </a:lnTo>
                    <a:lnTo>
                      <a:pt x="89" y="518"/>
                    </a:lnTo>
                    <a:lnTo>
                      <a:pt x="80" y="518"/>
                    </a:lnTo>
                    <a:lnTo>
                      <a:pt x="80" y="518"/>
                    </a:lnTo>
                    <a:lnTo>
                      <a:pt x="80" y="518"/>
                    </a:lnTo>
                    <a:lnTo>
                      <a:pt x="80" y="518"/>
                    </a:lnTo>
                    <a:lnTo>
                      <a:pt x="80" y="518"/>
                    </a:lnTo>
                    <a:lnTo>
                      <a:pt x="80" y="518"/>
                    </a:lnTo>
                    <a:lnTo>
                      <a:pt x="80" y="518"/>
                    </a:lnTo>
                    <a:lnTo>
                      <a:pt x="80" y="518"/>
                    </a:lnTo>
                    <a:lnTo>
                      <a:pt x="80" y="518"/>
                    </a:lnTo>
                    <a:lnTo>
                      <a:pt x="80" y="518"/>
                    </a:lnTo>
                    <a:lnTo>
                      <a:pt x="71" y="518"/>
                    </a:lnTo>
                    <a:lnTo>
                      <a:pt x="71" y="518"/>
                    </a:lnTo>
                    <a:lnTo>
                      <a:pt x="71" y="518"/>
                    </a:lnTo>
                    <a:lnTo>
                      <a:pt x="71" y="518"/>
                    </a:lnTo>
                    <a:lnTo>
                      <a:pt x="71" y="518"/>
                    </a:lnTo>
                    <a:lnTo>
                      <a:pt x="62" y="518"/>
                    </a:lnTo>
                    <a:lnTo>
                      <a:pt x="62" y="518"/>
                    </a:lnTo>
                    <a:lnTo>
                      <a:pt x="62" y="518"/>
                    </a:lnTo>
                    <a:lnTo>
                      <a:pt x="62" y="518"/>
                    </a:lnTo>
                    <a:lnTo>
                      <a:pt x="62" y="518"/>
                    </a:lnTo>
                    <a:lnTo>
                      <a:pt x="62" y="518"/>
                    </a:lnTo>
                    <a:lnTo>
                      <a:pt x="62" y="518"/>
                    </a:lnTo>
                    <a:lnTo>
                      <a:pt x="53" y="518"/>
                    </a:lnTo>
                    <a:lnTo>
                      <a:pt x="53" y="518"/>
                    </a:lnTo>
                    <a:lnTo>
                      <a:pt x="53" y="527"/>
                    </a:lnTo>
                    <a:lnTo>
                      <a:pt x="53" y="527"/>
                    </a:lnTo>
                    <a:lnTo>
                      <a:pt x="53" y="527"/>
                    </a:lnTo>
                    <a:lnTo>
                      <a:pt x="53" y="527"/>
                    </a:lnTo>
                    <a:lnTo>
                      <a:pt x="53" y="527"/>
                    </a:lnTo>
                    <a:lnTo>
                      <a:pt x="53" y="536"/>
                    </a:lnTo>
                    <a:lnTo>
                      <a:pt x="53" y="536"/>
                    </a:lnTo>
                    <a:lnTo>
                      <a:pt x="53" y="536"/>
                    </a:lnTo>
                    <a:lnTo>
                      <a:pt x="53" y="545"/>
                    </a:lnTo>
                    <a:lnTo>
                      <a:pt x="53" y="545"/>
                    </a:lnTo>
                    <a:lnTo>
                      <a:pt x="53" y="545"/>
                    </a:lnTo>
                    <a:lnTo>
                      <a:pt x="53" y="545"/>
                    </a:lnTo>
                    <a:lnTo>
                      <a:pt x="45" y="554"/>
                    </a:lnTo>
                    <a:lnTo>
                      <a:pt x="45" y="554"/>
                    </a:lnTo>
                    <a:lnTo>
                      <a:pt x="45" y="554"/>
                    </a:lnTo>
                    <a:lnTo>
                      <a:pt x="45" y="554"/>
                    </a:lnTo>
                    <a:lnTo>
                      <a:pt x="45" y="563"/>
                    </a:lnTo>
                    <a:lnTo>
                      <a:pt x="45" y="563"/>
                    </a:lnTo>
                    <a:lnTo>
                      <a:pt x="45" y="563"/>
                    </a:lnTo>
                    <a:lnTo>
                      <a:pt x="45" y="563"/>
                    </a:lnTo>
                    <a:lnTo>
                      <a:pt x="45" y="563"/>
                    </a:lnTo>
                    <a:lnTo>
                      <a:pt x="45" y="563"/>
                    </a:lnTo>
                    <a:lnTo>
                      <a:pt x="36" y="572"/>
                    </a:lnTo>
                    <a:lnTo>
                      <a:pt x="36" y="572"/>
                    </a:lnTo>
                    <a:lnTo>
                      <a:pt x="36" y="572"/>
                    </a:lnTo>
                    <a:lnTo>
                      <a:pt x="36" y="572"/>
                    </a:lnTo>
                    <a:lnTo>
                      <a:pt x="36" y="572"/>
                    </a:lnTo>
                    <a:lnTo>
                      <a:pt x="27" y="572"/>
                    </a:lnTo>
                    <a:lnTo>
                      <a:pt x="27" y="572"/>
                    </a:lnTo>
                    <a:lnTo>
                      <a:pt x="27" y="572"/>
                    </a:lnTo>
                    <a:lnTo>
                      <a:pt x="27" y="572"/>
                    </a:lnTo>
                    <a:lnTo>
                      <a:pt x="18" y="580"/>
                    </a:lnTo>
                    <a:lnTo>
                      <a:pt x="18" y="580"/>
                    </a:lnTo>
                    <a:lnTo>
                      <a:pt x="18" y="580"/>
                    </a:lnTo>
                    <a:lnTo>
                      <a:pt x="18" y="580"/>
                    </a:lnTo>
                    <a:lnTo>
                      <a:pt x="9" y="580"/>
                    </a:lnTo>
                    <a:lnTo>
                      <a:pt x="9" y="580"/>
                    </a:lnTo>
                    <a:lnTo>
                      <a:pt x="9" y="580"/>
                    </a:lnTo>
                    <a:lnTo>
                      <a:pt x="9" y="580"/>
                    </a:lnTo>
                    <a:lnTo>
                      <a:pt x="9" y="580"/>
                    </a:lnTo>
                    <a:lnTo>
                      <a:pt x="9" y="580"/>
                    </a:lnTo>
                    <a:lnTo>
                      <a:pt x="9" y="580"/>
                    </a:lnTo>
                    <a:lnTo>
                      <a:pt x="9" y="580"/>
                    </a:lnTo>
                    <a:lnTo>
                      <a:pt x="9" y="589"/>
                    </a:lnTo>
                    <a:lnTo>
                      <a:pt x="9" y="589"/>
                    </a:lnTo>
                    <a:lnTo>
                      <a:pt x="9" y="589"/>
                    </a:lnTo>
                    <a:lnTo>
                      <a:pt x="9" y="589"/>
                    </a:lnTo>
                    <a:lnTo>
                      <a:pt x="0" y="598"/>
                    </a:lnTo>
                    <a:lnTo>
                      <a:pt x="0" y="598"/>
                    </a:lnTo>
                    <a:lnTo>
                      <a:pt x="0" y="598"/>
                    </a:lnTo>
                    <a:lnTo>
                      <a:pt x="0" y="598"/>
                    </a:lnTo>
                    <a:lnTo>
                      <a:pt x="0" y="607"/>
                    </a:lnTo>
                    <a:lnTo>
                      <a:pt x="0" y="607"/>
                    </a:lnTo>
                    <a:lnTo>
                      <a:pt x="0" y="607"/>
                    </a:lnTo>
                    <a:lnTo>
                      <a:pt x="0" y="607"/>
                    </a:lnTo>
                    <a:lnTo>
                      <a:pt x="0" y="616"/>
                    </a:lnTo>
                    <a:lnTo>
                      <a:pt x="0" y="616"/>
                    </a:lnTo>
                    <a:lnTo>
                      <a:pt x="0" y="616"/>
                    </a:lnTo>
                    <a:lnTo>
                      <a:pt x="0" y="625"/>
                    </a:lnTo>
                    <a:lnTo>
                      <a:pt x="0" y="625"/>
                    </a:lnTo>
                    <a:lnTo>
                      <a:pt x="0" y="625"/>
                    </a:lnTo>
                    <a:lnTo>
                      <a:pt x="0" y="625"/>
                    </a:lnTo>
                    <a:lnTo>
                      <a:pt x="0" y="634"/>
                    </a:lnTo>
                    <a:lnTo>
                      <a:pt x="0" y="634"/>
                    </a:lnTo>
                    <a:lnTo>
                      <a:pt x="0" y="634"/>
                    </a:lnTo>
                    <a:lnTo>
                      <a:pt x="0" y="634"/>
                    </a:lnTo>
                    <a:lnTo>
                      <a:pt x="0" y="634"/>
                    </a:lnTo>
                    <a:lnTo>
                      <a:pt x="0" y="643"/>
                    </a:lnTo>
                    <a:lnTo>
                      <a:pt x="0" y="643"/>
                    </a:lnTo>
                    <a:lnTo>
                      <a:pt x="0" y="643"/>
                    </a:lnTo>
                    <a:lnTo>
                      <a:pt x="0" y="643"/>
                    </a:lnTo>
                    <a:lnTo>
                      <a:pt x="0" y="643"/>
                    </a:lnTo>
                    <a:lnTo>
                      <a:pt x="9" y="643"/>
                    </a:lnTo>
                    <a:lnTo>
                      <a:pt x="9" y="643"/>
                    </a:lnTo>
                    <a:lnTo>
                      <a:pt x="9" y="652"/>
                    </a:lnTo>
                    <a:lnTo>
                      <a:pt x="9" y="652"/>
                    </a:lnTo>
                    <a:lnTo>
                      <a:pt x="9" y="652"/>
                    </a:lnTo>
                    <a:lnTo>
                      <a:pt x="18" y="652"/>
                    </a:lnTo>
                    <a:lnTo>
                      <a:pt x="18" y="661"/>
                    </a:lnTo>
                    <a:lnTo>
                      <a:pt x="18" y="661"/>
                    </a:lnTo>
                    <a:lnTo>
                      <a:pt x="18" y="661"/>
                    </a:lnTo>
                    <a:lnTo>
                      <a:pt x="18" y="661"/>
                    </a:lnTo>
                    <a:lnTo>
                      <a:pt x="18" y="661"/>
                    </a:lnTo>
                    <a:lnTo>
                      <a:pt x="27" y="661"/>
                    </a:lnTo>
                    <a:lnTo>
                      <a:pt x="27" y="661"/>
                    </a:lnTo>
                    <a:lnTo>
                      <a:pt x="27" y="670"/>
                    </a:lnTo>
                    <a:lnTo>
                      <a:pt x="27" y="670"/>
                    </a:lnTo>
                    <a:lnTo>
                      <a:pt x="36" y="670"/>
                    </a:lnTo>
                    <a:lnTo>
                      <a:pt x="36" y="670"/>
                    </a:lnTo>
                    <a:lnTo>
                      <a:pt x="36" y="670"/>
                    </a:lnTo>
                    <a:lnTo>
                      <a:pt x="36" y="670"/>
                    </a:lnTo>
                    <a:lnTo>
                      <a:pt x="36" y="670"/>
                    </a:lnTo>
                    <a:lnTo>
                      <a:pt x="36" y="670"/>
                    </a:lnTo>
                    <a:lnTo>
                      <a:pt x="36" y="670"/>
                    </a:lnTo>
                    <a:lnTo>
                      <a:pt x="45" y="670"/>
                    </a:lnTo>
                    <a:lnTo>
                      <a:pt x="45" y="670"/>
                    </a:lnTo>
                    <a:lnTo>
                      <a:pt x="45" y="670"/>
                    </a:lnTo>
                    <a:lnTo>
                      <a:pt x="45" y="670"/>
                    </a:lnTo>
                    <a:lnTo>
                      <a:pt x="45" y="670"/>
                    </a:lnTo>
                    <a:lnTo>
                      <a:pt x="45" y="670"/>
                    </a:lnTo>
                    <a:lnTo>
                      <a:pt x="45" y="670"/>
                    </a:lnTo>
                    <a:lnTo>
                      <a:pt x="45" y="670"/>
                    </a:lnTo>
                    <a:lnTo>
                      <a:pt x="45" y="670"/>
                    </a:lnTo>
                    <a:lnTo>
                      <a:pt x="45" y="670"/>
                    </a:lnTo>
                    <a:lnTo>
                      <a:pt x="45" y="679"/>
                    </a:lnTo>
                    <a:lnTo>
                      <a:pt x="45" y="679"/>
                    </a:lnTo>
                    <a:lnTo>
                      <a:pt x="45" y="679"/>
                    </a:lnTo>
                    <a:lnTo>
                      <a:pt x="45" y="679"/>
                    </a:lnTo>
                    <a:lnTo>
                      <a:pt x="36" y="679"/>
                    </a:lnTo>
                    <a:lnTo>
                      <a:pt x="36" y="679"/>
                    </a:lnTo>
                    <a:lnTo>
                      <a:pt x="36" y="688"/>
                    </a:lnTo>
                    <a:lnTo>
                      <a:pt x="36" y="688"/>
                    </a:lnTo>
                    <a:lnTo>
                      <a:pt x="36" y="688"/>
                    </a:lnTo>
                    <a:lnTo>
                      <a:pt x="36" y="688"/>
                    </a:lnTo>
                    <a:lnTo>
                      <a:pt x="36" y="688"/>
                    </a:lnTo>
                    <a:lnTo>
                      <a:pt x="36" y="688"/>
                    </a:lnTo>
                    <a:lnTo>
                      <a:pt x="36" y="697"/>
                    </a:lnTo>
                    <a:lnTo>
                      <a:pt x="36" y="697"/>
                    </a:lnTo>
                    <a:lnTo>
                      <a:pt x="36" y="697"/>
                    </a:lnTo>
                    <a:lnTo>
                      <a:pt x="36" y="697"/>
                    </a:lnTo>
                    <a:lnTo>
                      <a:pt x="36" y="697"/>
                    </a:lnTo>
                    <a:lnTo>
                      <a:pt x="36" y="697"/>
                    </a:lnTo>
                    <a:lnTo>
                      <a:pt x="36" y="697"/>
                    </a:lnTo>
                    <a:lnTo>
                      <a:pt x="36" y="706"/>
                    </a:lnTo>
                    <a:lnTo>
                      <a:pt x="36" y="706"/>
                    </a:lnTo>
                    <a:lnTo>
                      <a:pt x="36" y="706"/>
                    </a:lnTo>
                    <a:lnTo>
                      <a:pt x="45" y="706"/>
                    </a:lnTo>
                    <a:lnTo>
                      <a:pt x="45" y="706"/>
                    </a:lnTo>
                    <a:lnTo>
                      <a:pt x="45" y="706"/>
                    </a:lnTo>
                    <a:lnTo>
                      <a:pt x="45" y="714"/>
                    </a:lnTo>
                    <a:lnTo>
                      <a:pt x="45" y="714"/>
                    </a:lnTo>
                    <a:lnTo>
                      <a:pt x="45" y="714"/>
                    </a:lnTo>
                    <a:lnTo>
                      <a:pt x="45" y="714"/>
                    </a:lnTo>
                    <a:lnTo>
                      <a:pt x="45" y="714"/>
                    </a:lnTo>
                    <a:lnTo>
                      <a:pt x="53" y="714"/>
                    </a:lnTo>
                    <a:lnTo>
                      <a:pt x="53" y="714"/>
                    </a:lnTo>
                    <a:lnTo>
                      <a:pt x="53" y="714"/>
                    </a:lnTo>
                    <a:lnTo>
                      <a:pt x="53" y="714"/>
                    </a:lnTo>
                    <a:lnTo>
                      <a:pt x="53" y="714"/>
                    </a:lnTo>
                    <a:lnTo>
                      <a:pt x="62" y="714"/>
                    </a:lnTo>
                    <a:lnTo>
                      <a:pt x="62" y="714"/>
                    </a:lnTo>
                    <a:lnTo>
                      <a:pt x="62" y="714"/>
                    </a:lnTo>
                    <a:lnTo>
                      <a:pt x="62" y="714"/>
                    </a:lnTo>
                    <a:lnTo>
                      <a:pt x="62" y="714"/>
                    </a:lnTo>
                    <a:lnTo>
                      <a:pt x="71" y="714"/>
                    </a:lnTo>
                    <a:lnTo>
                      <a:pt x="71" y="714"/>
                    </a:lnTo>
                    <a:lnTo>
                      <a:pt x="71" y="714"/>
                    </a:lnTo>
                    <a:lnTo>
                      <a:pt x="71" y="714"/>
                    </a:lnTo>
                    <a:lnTo>
                      <a:pt x="80" y="714"/>
                    </a:lnTo>
                    <a:lnTo>
                      <a:pt x="80" y="714"/>
                    </a:lnTo>
                    <a:lnTo>
                      <a:pt x="80" y="714"/>
                    </a:lnTo>
                    <a:lnTo>
                      <a:pt x="80" y="714"/>
                    </a:lnTo>
                    <a:lnTo>
                      <a:pt x="89" y="714"/>
                    </a:lnTo>
                    <a:lnTo>
                      <a:pt x="89" y="723"/>
                    </a:lnTo>
                    <a:lnTo>
                      <a:pt x="89" y="723"/>
                    </a:lnTo>
                    <a:lnTo>
                      <a:pt x="89" y="723"/>
                    </a:lnTo>
                    <a:lnTo>
                      <a:pt x="98" y="723"/>
                    </a:lnTo>
                    <a:lnTo>
                      <a:pt x="98" y="723"/>
                    </a:lnTo>
                    <a:lnTo>
                      <a:pt x="98" y="723"/>
                    </a:lnTo>
                    <a:lnTo>
                      <a:pt x="107" y="723"/>
                    </a:lnTo>
                    <a:lnTo>
                      <a:pt x="107" y="723"/>
                    </a:lnTo>
                    <a:lnTo>
                      <a:pt x="107" y="723"/>
                    </a:lnTo>
                    <a:lnTo>
                      <a:pt x="116" y="723"/>
                    </a:lnTo>
                    <a:lnTo>
                      <a:pt x="116" y="723"/>
                    </a:lnTo>
                    <a:lnTo>
                      <a:pt x="116" y="723"/>
                    </a:lnTo>
                    <a:lnTo>
                      <a:pt x="125" y="723"/>
                    </a:lnTo>
                    <a:lnTo>
                      <a:pt x="125" y="723"/>
                    </a:lnTo>
                    <a:lnTo>
                      <a:pt x="125" y="732"/>
                    </a:lnTo>
                    <a:lnTo>
                      <a:pt x="125" y="732"/>
                    </a:lnTo>
                    <a:lnTo>
                      <a:pt x="134" y="732"/>
                    </a:lnTo>
                    <a:lnTo>
                      <a:pt x="134" y="732"/>
                    </a:lnTo>
                    <a:lnTo>
                      <a:pt x="134" y="732"/>
                    </a:lnTo>
                    <a:lnTo>
                      <a:pt x="143" y="732"/>
                    </a:lnTo>
                    <a:lnTo>
                      <a:pt x="143" y="732"/>
                    </a:lnTo>
                    <a:lnTo>
                      <a:pt x="143" y="732"/>
                    </a:lnTo>
                    <a:lnTo>
                      <a:pt x="152" y="732"/>
                    </a:lnTo>
                    <a:lnTo>
                      <a:pt x="152" y="732"/>
                    </a:lnTo>
                    <a:lnTo>
                      <a:pt x="152" y="732"/>
                    </a:lnTo>
                    <a:lnTo>
                      <a:pt x="161" y="732"/>
                    </a:lnTo>
                    <a:lnTo>
                      <a:pt x="161" y="732"/>
                    </a:lnTo>
                    <a:lnTo>
                      <a:pt x="161" y="732"/>
                    </a:lnTo>
                    <a:lnTo>
                      <a:pt x="170" y="732"/>
                    </a:lnTo>
                    <a:lnTo>
                      <a:pt x="170" y="732"/>
                    </a:lnTo>
                    <a:lnTo>
                      <a:pt x="178" y="732"/>
                    </a:lnTo>
                    <a:lnTo>
                      <a:pt x="178" y="732"/>
                    </a:lnTo>
                    <a:lnTo>
                      <a:pt x="178" y="732"/>
                    </a:lnTo>
                    <a:lnTo>
                      <a:pt x="187" y="732"/>
                    </a:lnTo>
                    <a:lnTo>
                      <a:pt x="187" y="732"/>
                    </a:lnTo>
                    <a:lnTo>
                      <a:pt x="187" y="732"/>
                    </a:lnTo>
                    <a:lnTo>
                      <a:pt x="196" y="732"/>
                    </a:lnTo>
                    <a:lnTo>
                      <a:pt x="196" y="732"/>
                    </a:lnTo>
                    <a:lnTo>
                      <a:pt x="196" y="732"/>
                    </a:lnTo>
                    <a:lnTo>
                      <a:pt x="205" y="732"/>
                    </a:lnTo>
                    <a:lnTo>
                      <a:pt x="205" y="732"/>
                    </a:lnTo>
                    <a:lnTo>
                      <a:pt x="205" y="732"/>
                    </a:lnTo>
                    <a:lnTo>
                      <a:pt x="205" y="732"/>
                    </a:lnTo>
                    <a:lnTo>
                      <a:pt x="214" y="732"/>
                    </a:lnTo>
                    <a:lnTo>
                      <a:pt x="214" y="732"/>
                    </a:lnTo>
                    <a:lnTo>
                      <a:pt x="214" y="732"/>
                    </a:lnTo>
                    <a:lnTo>
                      <a:pt x="223" y="732"/>
                    </a:lnTo>
                    <a:lnTo>
                      <a:pt x="223" y="732"/>
                    </a:lnTo>
                    <a:lnTo>
                      <a:pt x="223" y="732"/>
                    </a:lnTo>
                    <a:lnTo>
                      <a:pt x="223" y="732"/>
                    </a:lnTo>
                    <a:lnTo>
                      <a:pt x="232" y="732"/>
                    </a:lnTo>
                    <a:lnTo>
                      <a:pt x="232" y="723"/>
                    </a:lnTo>
                    <a:lnTo>
                      <a:pt x="232" y="723"/>
                    </a:lnTo>
                    <a:lnTo>
                      <a:pt x="241" y="723"/>
                    </a:lnTo>
                    <a:lnTo>
                      <a:pt x="241" y="723"/>
                    </a:lnTo>
                    <a:lnTo>
                      <a:pt x="241" y="723"/>
                    </a:lnTo>
                    <a:lnTo>
                      <a:pt x="250" y="723"/>
                    </a:lnTo>
                    <a:lnTo>
                      <a:pt x="250" y="714"/>
                    </a:lnTo>
                    <a:lnTo>
                      <a:pt x="259" y="714"/>
                    </a:lnTo>
                    <a:lnTo>
                      <a:pt x="259" y="714"/>
                    </a:lnTo>
                    <a:lnTo>
                      <a:pt x="259" y="714"/>
                    </a:lnTo>
                    <a:lnTo>
                      <a:pt x="268" y="706"/>
                    </a:lnTo>
                    <a:lnTo>
                      <a:pt x="268" y="706"/>
                    </a:lnTo>
                    <a:lnTo>
                      <a:pt x="277" y="706"/>
                    </a:lnTo>
                    <a:lnTo>
                      <a:pt x="277" y="697"/>
                    </a:lnTo>
                    <a:lnTo>
                      <a:pt x="286" y="697"/>
                    </a:lnTo>
                    <a:lnTo>
                      <a:pt x="286" y="697"/>
                    </a:lnTo>
                    <a:lnTo>
                      <a:pt x="286" y="697"/>
                    </a:lnTo>
                    <a:lnTo>
                      <a:pt x="295" y="697"/>
                    </a:lnTo>
                    <a:lnTo>
                      <a:pt x="295" y="697"/>
                    </a:lnTo>
                    <a:lnTo>
                      <a:pt x="295" y="697"/>
                    </a:lnTo>
                    <a:lnTo>
                      <a:pt x="295" y="688"/>
                    </a:lnTo>
                    <a:lnTo>
                      <a:pt x="304" y="688"/>
                    </a:lnTo>
                    <a:lnTo>
                      <a:pt x="304" y="688"/>
                    </a:lnTo>
                    <a:lnTo>
                      <a:pt x="304" y="688"/>
                    </a:lnTo>
                    <a:lnTo>
                      <a:pt x="304" y="688"/>
                    </a:lnTo>
                    <a:lnTo>
                      <a:pt x="304" y="688"/>
                    </a:lnTo>
                    <a:lnTo>
                      <a:pt x="304" y="679"/>
                    </a:lnTo>
                    <a:lnTo>
                      <a:pt x="304" y="679"/>
                    </a:lnTo>
                    <a:lnTo>
                      <a:pt x="304" y="679"/>
                    </a:lnTo>
                    <a:lnTo>
                      <a:pt x="312" y="679"/>
                    </a:lnTo>
                    <a:lnTo>
                      <a:pt x="312" y="679"/>
                    </a:lnTo>
                    <a:lnTo>
                      <a:pt x="312" y="679"/>
                    </a:lnTo>
                    <a:lnTo>
                      <a:pt x="312" y="670"/>
                    </a:lnTo>
                    <a:lnTo>
                      <a:pt x="312" y="670"/>
                    </a:lnTo>
                    <a:lnTo>
                      <a:pt x="312" y="670"/>
                    </a:lnTo>
                    <a:lnTo>
                      <a:pt x="312" y="670"/>
                    </a:lnTo>
                    <a:lnTo>
                      <a:pt x="312" y="670"/>
                    </a:lnTo>
                    <a:lnTo>
                      <a:pt x="312" y="670"/>
                    </a:lnTo>
                    <a:lnTo>
                      <a:pt x="312" y="670"/>
                    </a:lnTo>
                    <a:lnTo>
                      <a:pt x="321" y="670"/>
                    </a:lnTo>
                    <a:lnTo>
                      <a:pt x="321" y="670"/>
                    </a:lnTo>
                    <a:lnTo>
                      <a:pt x="321" y="670"/>
                    </a:lnTo>
                    <a:lnTo>
                      <a:pt x="321" y="670"/>
                    </a:lnTo>
                    <a:lnTo>
                      <a:pt x="330" y="670"/>
                    </a:lnTo>
                    <a:lnTo>
                      <a:pt x="330" y="670"/>
                    </a:lnTo>
                    <a:lnTo>
                      <a:pt x="330" y="670"/>
                    </a:lnTo>
                    <a:lnTo>
                      <a:pt x="330" y="670"/>
                    </a:lnTo>
                    <a:lnTo>
                      <a:pt x="330" y="670"/>
                    </a:lnTo>
                    <a:lnTo>
                      <a:pt x="330" y="661"/>
                    </a:lnTo>
                    <a:lnTo>
                      <a:pt x="330" y="661"/>
                    </a:lnTo>
                    <a:lnTo>
                      <a:pt x="330" y="661"/>
                    </a:lnTo>
                    <a:lnTo>
                      <a:pt x="330" y="652"/>
                    </a:lnTo>
                    <a:lnTo>
                      <a:pt x="330" y="652"/>
                    </a:lnTo>
                    <a:lnTo>
                      <a:pt x="330" y="652"/>
                    </a:lnTo>
                    <a:lnTo>
                      <a:pt x="330" y="643"/>
                    </a:lnTo>
                    <a:lnTo>
                      <a:pt x="330" y="643"/>
                    </a:lnTo>
                    <a:lnTo>
                      <a:pt x="330" y="643"/>
                    </a:lnTo>
                    <a:lnTo>
                      <a:pt x="330" y="634"/>
                    </a:lnTo>
                    <a:lnTo>
                      <a:pt x="330" y="634"/>
                    </a:lnTo>
                    <a:lnTo>
                      <a:pt x="330" y="634"/>
                    </a:lnTo>
                    <a:lnTo>
                      <a:pt x="330" y="625"/>
                    </a:lnTo>
                    <a:lnTo>
                      <a:pt x="330" y="625"/>
                    </a:lnTo>
                    <a:lnTo>
                      <a:pt x="339" y="625"/>
                    </a:lnTo>
                    <a:lnTo>
                      <a:pt x="339" y="625"/>
                    </a:lnTo>
                    <a:lnTo>
                      <a:pt x="339" y="625"/>
                    </a:lnTo>
                    <a:lnTo>
                      <a:pt x="339" y="616"/>
                    </a:lnTo>
                    <a:lnTo>
                      <a:pt x="339" y="616"/>
                    </a:lnTo>
                    <a:lnTo>
                      <a:pt x="339" y="616"/>
                    </a:lnTo>
                    <a:lnTo>
                      <a:pt x="339" y="616"/>
                    </a:lnTo>
                    <a:lnTo>
                      <a:pt x="348" y="616"/>
                    </a:lnTo>
                    <a:lnTo>
                      <a:pt x="348" y="616"/>
                    </a:lnTo>
                    <a:lnTo>
                      <a:pt x="348" y="607"/>
                    </a:lnTo>
                    <a:lnTo>
                      <a:pt x="348" y="607"/>
                    </a:lnTo>
                    <a:lnTo>
                      <a:pt x="348" y="607"/>
                    </a:lnTo>
                    <a:lnTo>
                      <a:pt x="357" y="607"/>
                    </a:lnTo>
                    <a:lnTo>
                      <a:pt x="357" y="607"/>
                    </a:lnTo>
                    <a:lnTo>
                      <a:pt x="357" y="607"/>
                    </a:lnTo>
                    <a:lnTo>
                      <a:pt x="357" y="607"/>
                    </a:lnTo>
                    <a:lnTo>
                      <a:pt x="357" y="607"/>
                    </a:lnTo>
                    <a:lnTo>
                      <a:pt x="357" y="607"/>
                    </a:lnTo>
                    <a:lnTo>
                      <a:pt x="366" y="607"/>
                    </a:lnTo>
                    <a:lnTo>
                      <a:pt x="366" y="607"/>
                    </a:lnTo>
                    <a:lnTo>
                      <a:pt x="366" y="607"/>
                    </a:lnTo>
                    <a:lnTo>
                      <a:pt x="366" y="607"/>
                    </a:lnTo>
                    <a:lnTo>
                      <a:pt x="366" y="607"/>
                    </a:lnTo>
                    <a:lnTo>
                      <a:pt x="366" y="607"/>
                    </a:lnTo>
                    <a:lnTo>
                      <a:pt x="366" y="607"/>
                    </a:lnTo>
                    <a:lnTo>
                      <a:pt x="366" y="607"/>
                    </a:lnTo>
                    <a:lnTo>
                      <a:pt x="366" y="607"/>
                    </a:lnTo>
                    <a:lnTo>
                      <a:pt x="366" y="598"/>
                    </a:lnTo>
                    <a:lnTo>
                      <a:pt x="366" y="598"/>
                    </a:lnTo>
                    <a:lnTo>
                      <a:pt x="366" y="598"/>
                    </a:lnTo>
                    <a:lnTo>
                      <a:pt x="366" y="598"/>
                    </a:lnTo>
                    <a:lnTo>
                      <a:pt x="366" y="598"/>
                    </a:lnTo>
                    <a:lnTo>
                      <a:pt x="366" y="598"/>
                    </a:lnTo>
                    <a:lnTo>
                      <a:pt x="366" y="589"/>
                    </a:lnTo>
                    <a:lnTo>
                      <a:pt x="366" y="589"/>
                    </a:lnTo>
                    <a:lnTo>
                      <a:pt x="366" y="589"/>
                    </a:lnTo>
                    <a:lnTo>
                      <a:pt x="366" y="589"/>
                    </a:lnTo>
                    <a:lnTo>
                      <a:pt x="366" y="589"/>
                    </a:lnTo>
                    <a:lnTo>
                      <a:pt x="366" y="580"/>
                    </a:lnTo>
                    <a:lnTo>
                      <a:pt x="366" y="580"/>
                    </a:lnTo>
                    <a:lnTo>
                      <a:pt x="375" y="580"/>
                    </a:lnTo>
                    <a:lnTo>
                      <a:pt x="375" y="580"/>
                    </a:lnTo>
                    <a:lnTo>
                      <a:pt x="375" y="580"/>
                    </a:lnTo>
                    <a:lnTo>
                      <a:pt x="375" y="580"/>
                    </a:lnTo>
                    <a:lnTo>
                      <a:pt x="375" y="580"/>
                    </a:lnTo>
                    <a:lnTo>
                      <a:pt x="375" y="580"/>
                    </a:lnTo>
                    <a:lnTo>
                      <a:pt x="375" y="580"/>
                    </a:lnTo>
                    <a:lnTo>
                      <a:pt x="384" y="580"/>
                    </a:lnTo>
                    <a:lnTo>
                      <a:pt x="384" y="572"/>
                    </a:lnTo>
                    <a:lnTo>
                      <a:pt x="384" y="572"/>
                    </a:lnTo>
                    <a:lnTo>
                      <a:pt x="384" y="572"/>
                    </a:lnTo>
                    <a:lnTo>
                      <a:pt x="384" y="572"/>
                    </a:lnTo>
                    <a:lnTo>
                      <a:pt x="393" y="572"/>
                    </a:lnTo>
                    <a:lnTo>
                      <a:pt x="393" y="572"/>
                    </a:lnTo>
                    <a:lnTo>
                      <a:pt x="393" y="572"/>
                    </a:lnTo>
                    <a:lnTo>
                      <a:pt x="393" y="572"/>
                    </a:lnTo>
                    <a:lnTo>
                      <a:pt x="393" y="572"/>
                    </a:lnTo>
                    <a:lnTo>
                      <a:pt x="402" y="572"/>
                    </a:lnTo>
                    <a:lnTo>
                      <a:pt x="402" y="572"/>
                    </a:lnTo>
                    <a:lnTo>
                      <a:pt x="402" y="572"/>
                    </a:lnTo>
                    <a:lnTo>
                      <a:pt x="402" y="580"/>
                    </a:lnTo>
                    <a:lnTo>
                      <a:pt x="402" y="580"/>
                    </a:lnTo>
                    <a:lnTo>
                      <a:pt x="411" y="580"/>
                    </a:lnTo>
                    <a:lnTo>
                      <a:pt x="411" y="580"/>
                    </a:lnTo>
                    <a:lnTo>
                      <a:pt x="411" y="580"/>
                    </a:lnTo>
                    <a:lnTo>
                      <a:pt x="411" y="580"/>
                    </a:lnTo>
                    <a:lnTo>
                      <a:pt x="411" y="580"/>
                    </a:lnTo>
                    <a:lnTo>
                      <a:pt x="411" y="580"/>
                    </a:lnTo>
                    <a:lnTo>
                      <a:pt x="411" y="580"/>
                    </a:lnTo>
                    <a:lnTo>
                      <a:pt x="420" y="580"/>
                    </a:lnTo>
                    <a:lnTo>
                      <a:pt x="420" y="580"/>
                    </a:lnTo>
                    <a:lnTo>
                      <a:pt x="420" y="580"/>
                    </a:lnTo>
                    <a:lnTo>
                      <a:pt x="420" y="589"/>
                    </a:lnTo>
                    <a:lnTo>
                      <a:pt x="420" y="589"/>
                    </a:lnTo>
                    <a:lnTo>
                      <a:pt x="420" y="589"/>
                    </a:lnTo>
                    <a:lnTo>
                      <a:pt x="420" y="589"/>
                    </a:lnTo>
                    <a:lnTo>
                      <a:pt x="420" y="589"/>
                    </a:lnTo>
                    <a:lnTo>
                      <a:pt x="420" y="589"/>
                    </a:lnTo>
                    <a:lnTo>
                      <a:pt x="420" y="589"/>
                    </a:lnTo>
                    <a:lnTo>
                      <a:pt x="420" y="589"/>
                    </a:lnTo>
                    <a:lnTo>
                      <a:pt x="420" y="589"/>
                    </a:lnTo>
                    <a:lnTo>
                      <a:pt x="420" y="589"/>
                    </a:lnTo>
                    <a:lnTo>
                      <a:pt x="420" y="589"/>
                    </a:lnTo>
                    <a:lnTo>
                      <a:pt x="420" y="598"/>
                    </a:lnTo>
                    <a:lnTo>
                      <a:pt x="420" y="598"/>
                    </a:lnTo>
                    <a:lnTo>
                      <a:pt x="420" y="598"/>
                    </a:lnTo>
                    <a:lnTo>
                      <a:pt x="420" y="598"/>
                    </a:lnTo>
                    <a:lnTo>
                      <a:pt x="420" y="598"/>
                    </a:lnTo>
                    <a:lnTo>
                      <a:pt x="420" y="598"/>
                    </a:lnTo>
                    <a:lnTo>
                      <a:pt x="420" y="598"/>
                    </a:lnTo>
                    <a:lnTo>
                      <a:pt x="420" y="598"/>
                    </a:lnTo>
                    <a:lnTo>
                      <a:pt x="420" y="607"/>
                    </a:lnTo>
                    <a:lnTo>
                      <a:pt x="420" y="607"/>
                    </a:lnTo>
                    <a:lnTo>
                      <a:pt x="420" y="607"/>
                    </a:lnTo>
                    <a:lnTo>
                      <a:pt x="420" y="607"/>
                    </a:lnTo>
                    <a:lnTo>
                      <a:pt x="420" y="607"/>
                    </a:lnTo>
                    <a:lnTo>
                      <a:pt x="420" y="607"/>
                    </a:lnTo>
                    <a:lnTo>
                      <a:pt x="420" y="607"/>
                    </a:lnTo>
                    <a:lnTo>
                      <a:pt x="420" y="607"/>
                    </a:lnTo>
                    <a:lnTo>
                      <a:pt x="429" y="607"/>
                    </a:lnTo>
                    <a:lnTo>
                      <a:pt x="429" y="607"/>
                    </a:lnTo>
                    <a:lnTo>
                      <a:pt x="429" y="607"/>
                    </a:lnTo>
                    <a:lnTo>
                      <a:pt x="429" y="607"/>
                    </a:lnTo>
                    <a:lnTo>
                      <a:pt x="429" y="607"/>
                    </a:lnTo>
                    <a:lnTo>
                      <a:pt x="429" y="607"/>
                    </a:lnTo>
                    <a:lnTo>
                      <a:pt x="438" y="607"/>
                    </a:lnTo>
                    <a:lnTo>
                      <a:pt x="438" y="607"/>
                    </a:lnTo>
                    <a:lnTo>
                      <a:pt x="438" y="607"/>
                    </a:lnTo>
                    <a:lnTo>
                      <a:pt x="438" y="607"/>
                    </a:lnTo>
                    <a:lnTo>
                      <a:pt x="438" y="607"/>
                    </a:lnTo>
                    <a:lnTo>
                      <a:pt x="438" y="607"/>
                    </a:lnTo>
                    <a:lnTo>
                      <a:pt x="446" y="607"/>
                    </a:lnTo>
                    <a:lnTo>
                      <a:pt x="446" y="607"/>
                    </a:lnTo>
                    <a:lnTo>
                      <a:pt x="446" y="607"/>
                    </a:lnTo>
                    <a:lnTo>
                      <a:pt x="446" y="607"/>
                    </a:lnTo>
                    <a:lnTo>
                      <a:pt x="446" y="607"/>
                    </a:lnTo>
                    <a:lnTo>
                      <a:pt x="455" y="607"/>
                    </a:lnTo>
                    <a:lnTo>
                      <a:pt x="455" y="607"/>
                    </a:lnTo>
                    <a:lnTo>
                      <a:pt x="455" y="607"/>
                    </a:lnTo>
                    <a:lnTo>
                      <a:pt x="455" y="607"/>
                    </a:lnTo>
                    <a:lnTo>
                      <a:pt x="464" y="607"/>
                    </a:lnTo>
                    <a:lnTo>
                      <a:pt x="464" y="607"/>
                    </a:lnTo>
                    <a:lnTo>
                      <a:pt x="464" y="607"/>
                    </a:lnTo>
                    <a:lnTo>
                      <a:pt x="473" y="607"/>
                    </a:lnTo>
                    <a:lnTo>
                      <a:pt x="473" y="607"/>
                    </a:lnTo>
                    <a:lnTo>
                      <a:pt x="473" y="607"/>
                    </a:lnTo>
                    <a:lnTo>
                      <a:pt x="482" y="607"/>
                    </a:lnTo>
                    <a:lnTo>
                      <a:pt x="482" y="607"/>
                    </a:lnTo>
                    <a:lnTo>
                      <a:pt x="482" y="607"/>
                    </a:lnTo>
                    <a:lnTo>
                      <a:pt x="482" y="607"/>
                    </a:lnTo>
                    <a:lnTo>
                      <a:pt x="491" y="607"/>
                    </a:lnTo>
                    <a:lnTo>
                      <a:pt x="491" y="607"/>
                    </a:lnTo>
                    <a:lnTo>
                      <a:pt x="491" y="607"/>
                    </a:lnTo>
                    <a:lnTo>
                      <a:pt x="491" y="607"/>
                    </a:lnTo>
                    <a:lnTo>
                      <a:pt x="500" y="607"/>
                    </a:lnTo>
                    <a:lnTo>
                      <a:pt x="500" y="607"/>
                    </a:lnTo>
                    <a:lnTo>
                      <a:pt x="500" y="607"/>
                    </a:lnTo>
                    <a:lnTo>
                      <a:pt x="500" y="607"/>
                    </a:lnTo>
                    <a:lnTo>
                      <a:pt x="509" y="607"/>
                    </a:lnTo>
                    <a:lnTo>
                      <a:pt x="509" y="607"/>
                    </a:lnTo>
                    <a:lnTo>
                      <a:pt x="509" y="607"/>
                    </a:lnTo>
                    <a:lnTo>
                      <a:pt x="509" y="607"/>
                    </a:lnTo>
                    <a:lnTo>
                      <a:pt x="518" y="607"/>
                    </a:lnTo>
                    <a:lnTo>
                      <a:pt x="518" y="607"/>
                    </a:lnTo>
                    <a:lnTo>
                      <a:pt x="518" y="607"/>
                    </a:lnTo>
                    <a:lnTo>
                      <a:pt x="527" y="607"/>
                    </a:lnTo>
                    <a:lnTo>
                      <a:pt x="527" y="607"/>
                    </a:lnTo>
                    <a:lnTo>
                      <a:pt x="527" y="607"/>
                    </a:lnTo>
                    <a:lnTo>
                      <a:pt x="527" y="607"/>
                    </a:lnTo>
                    <a:lnTo>
                      <a:pt x="536" y="607"/>
                    </a:lnTo>
                    <a:lnTo>
                      <a:pt x="536" y="607"/>
                    </a:lnTo>
                    <a:lnTo>
                      <a:pt x="536" y="607"/>
                    </a:lnTo>
                    <a:lnTo>
                      <a:pt x="536" y="607"/>
                    </a:lnTo>
                    <a:lnTo>
                      <a:pt x="545" y="607"/>
                    </a:lnTo>
                    <a:lnTo>
                      <a:pt x="545" y="607"/>
                    </a:lnTo>
                    <a:lnTo>
                      <a:pt x="545" y="607"/>
                    </a:lnTo>
                    <a:lnTo>
                      <a:pt x="545" y="607"/>
                    </a:lnTo>
                    <a:lnTo>
                      <a:pt x="545" y="607"/>
                    </a:lnTo>
                    <a:lnTo>
                      <a:pt x="545" y="607"/>
                    </a:lnTo>
                    <a:lnTo>
                      <a:pt x="554" y="607"/>
                    </a:lnTo>
                    <a:lnTo>
                      <a:pt x="554" y="607"/>
                    </a:lnTo>
                    <a:lnTo>
                      <a:pt x="554" y="607"/>
                    </a:lnTo>
                    <a:lnTo>
                      <a:pt x="554" y="607"/>
                    </a:lnTo>
                    <a:lnTo>
                      <a:pt x="554" y="607"/>
                    </a:lnTo>
                    <a:lnTo>
                      <a:pt x="554" y="607"/>
                    </a:lnTo>
                    <a:lnTo>
                      <a:pt x="554" y="607"/>
                    </a:lnTo>
                    <a:lnTo>
                      <a:pt x="554" y="607"/>
                    </a:lnTo>
                    <a:lnTo>
                      <a:pt x="554" y="607"/>
                    </a:lnTo>
                    <a:lnTo>
                      <a:pt x="554" y="616"/>
                    </a:lnTo>
                    <a:lnTo>
                      <a:pt x="554" y="616"/>
                    </a:lnTo>
                    <a:lnTo>
                      <a:pt x="554" y="616"/>
                    </a:lnTo>
                    <a:lnTo>
                      <a:pt x="563" y="616"/>
                    </a:lnTo>
                    <a:lnTo>
                      <a:pt x="563" y="616"/>
                    </a:lnTo>
                    <a:lnTo>
                      <a:pt x="563" y="616"/>
                    </a:lnTo>
                    <a:lnTo>
                      <a:pt x="563" y="616"/>
                    </a:lnTo>
                    <a:lnTo>
                      <a:pt x="563" y="616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72" y="625"/>
                    </a:lnTo>
                    <a:lnTo>
                      <a:pt x="572" y="625"/>
                    </a:lnTo>
                    <a:lnTo>
                      <a:pt x="572" y="625"/>
                    </a:lnTo>
                    <a:lnTo>
                      <a:pt x="572" y="625"/>
                    </a:lnTo>
                    <a:lnTo>
                      <a:pt x="572" y="625"/>
                    </a:lnTo>
                    <a:lnTo>
                      <a:pt x="580" y="625"/>
                    </a:lnTo>
                    <a:lnTo>
                      <a:pt x="580" y="625"/>
                    </a:lnTo>
                    <a:lnTo>
                      <a:pt x="580" y="625"/>
                    </a:lnTo>
                    <a:lnTo>
                      <a:pt x="580" y="625"/>
                    </a:lnTo>
                    <a:lnTo>
                      <a:pt x="580" y="625"/>
                    </a:lnTo>
                    <a:lnTo>
                      <a:pt x="589" y="625"/>
                    </a:lnTo>
                    <a:lnTo>
                      <a:pt x="589" y="625"/>
                    </a:lnTo>
                    <a:lnTo>
                      <a:pt x="589" y="625"/>
                    </a:lnTo>
                    <a:lnTo>
                      <a:pt x="589" y="625"/>
                    </a:lnTo>
                    <a:lnTo>
                      <a:pt x="598" y="625"/>
                    </a:lnTo>
                    <a:lnTo>
                      <a:pt x="598" y="625"/>
                    </a:lnTo>
                    <a:lnTo>
                      <a:pt x="598" y="625"/>
                    </a:lnTo>
                    <a:lnTo>
                      <a:pt x="598" y="625"/>
                    </a:lnTo>
                    <a:lnTo>
                      <a:pt x="607" y="625"/>
                    </a:lnTo>
                    <a:lnTo>
                      <a:pt x="607" y="625"/>
                    </a:lnTo>
                    <a:lnTo>
                      <a:pt x="607" y="625"/>
                    </a:lnTo>
                    <a:lnTo>
                      <a:pt x="607" y="625"/>
                    </a:lnTo>
                    <a:lnTo>
                      <a:pt x="607" y="625"/>
                    </a:lnTo>
                    <a:lnTo>
                      <a:pt x="607" y="625"/>
                    </a:lnTo>
                    <a:lnTo>
                      <a:pt x="616" y="625"/>
                    </a:lnTo>
                    <a:lnTo>
                      <a:pt x="616" y="625"/>
                    </a:lnTo>
                    <a:lnTo>
                      <a:pt x="616" y="625"/>
                    </a:lnTo>
                    <a:lnTo>
                      <a:pt x="616" y="625"/>
                    </a:lnTo>
                    <a:lnTo>
                      <a:pt x="616" y="625"/>
                    </a:lnTo>
                    <a:lnTo>
                      <a:pt x="616" y="625"/>
                    </a:lnTo>
                    <a:lnTo>
                      <a:pt x="616" y="625"/>
                    </a:lnTo>
                    <a:lnTo>
                      <a:pt x="616" y="625"/>
                    </a:lnTo>
                    <a:lnTo>
                      <a:pt x="616" y="616"/>
                    </a:lnTo>
                    <a:lnTo>
                      <a:pt x="616" y="616"/>
                    </a:lnTo>
                    <a:lnTo>
                      <a:pt x="616" y="616"/>
                    </a:lnTo>
                    <a:lnTo>
                      <a:pt x="616" y="616"/>
                    </a:lnTo>
                    <a:lnTo>
                      <a:pt x="616" y="616"/>
                    </a:lnTo>
                    <a:lnTo>
                      <a:pt x="616" y="616"/>
                    </a:lnTo>
                    <a:lnTo>
                      <a:pt x="616" y="616"/>
                    </a:lnTo>
                    <a:lnTo>
                      <a:pt x="616" y="616"/>
                    </a:lnTo>
                    <a:lnTo>
                      <a:pt x="616" y="616"/>
                    </a:lnTo>
                    <a:lnTo>
                      <a:pt x="616" y="616"/>
                    </a:lnTo>
                    <a:lnTo>
                      <a:pt x="616" y="616"/>
                    </a:lnTo>
                    <a:lnTo>
                      <a:pt x="607" y="607"/>
                    </a:lnTo>
                    <a:lnTo>
                      <a:pt x="607" y="607"/>
                    </a:lnTo>
                    <a:lnTo>
                      <a:pt x="607" y="607"/>
                    </a:lnTo>
                    <a:lnTo>
                      <a:pt x="607" y="607"/>
                    </a:lnTo>
                    <a:lnTo>
                      <a:pt x="607" y="607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598" y="598"/>
                    </a:lnTo>
                    <a:lnTo>
                      <a:pt x="598" y="598"/>
                    </a:lnTo>
                    <a:lnTo>
                      <a:pt x="598" y="598"/>
                    </a:lnTo>
                    <a:lnTo>
                      <a:pt x="598" y="598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616" y="598"/>
                    </a:lnTo>
                    <a:lnTo>
                      <a:pt x="616" y="598"/>
                    </a:lnTo>
                    <a:lnTo>
                      <a:pt x="616" y="598"/>
                    </a:lnTo>
                    <a:lnTo>
                      <a:pt x="616" y="598"/>
                    </a:lnTo>
                    <a:lnTo>
                      <a:pt x="616" y="598"/>
                    </a:lnTo>
                    <a:lnTo>
                      <a:pt x="616" y="598"/>
                    </a:lnTo>
                    <a:lnTo>
                      <a:pt x="616" y="589"/>
                    </a:lnTo>
                    <a:lnTo>
                      <a:pt x="625" y="589"/>
                    </a:lnTo>
                    <a:lnTo>
                      <a:pt x="625" y="589"/>
                    </a:lnTo>
                    <a:lnTo>
                      <a:pt x="625" y="589"/>
                    </a:lnTo>
                    <a:lnTo>
                      <a:pt x="625" y="589"/>
                    </a:lnTo>
                    <a:lnTo>
                      <a:pt x="625" y="589"/>
                    </a:lnTo>
                    <a:lnTo>
                      <a:pt x="625" y="589"/>
                    </a:lnTo>
                    <a:lnTo>
                      <a:pt x="625" y="589"/>
                    </a:lnTo>
                    <a:lnTo>
                      <a:pt x="625" y="589"/>
                    </a:lnTo>
                    <a:lnTo>
                      <a:pt x="625" y="589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72"/>
                    </a:lnTo>
                    <a:lnTo>
                      <a:pt x="625" y="572"/>
                    </a:lnTo>
                    <a:lnTo>
                      <a:pt x="625" y="572"/>
                    </a:lnTo>
                    <a:lnTo>
                      <a:pt x="625" y="572"/>
                    </a:lnTo>
                    <a:lnTo>
                      <a:pt x="625" y="572"/>
                    </a:lnTo>
                    <a:lnTo>
                      <a:pt x="625" y="572"/>
                    </a:lnTo>
                    <a:lnTo>
                      <a:pt x="625" y="572"/>
                    </a:lnTo>
                    <a:lnTo>
                      <a:pt x="625" y="572"/>
                    </a:lnTo>
                    <a:lnTo>
                      <a:pt x="634" y="563"/>
                    </a:lnTo>
                    <a:lnTo>
                      <a:pt x="634" y="563"/>
                    </a:lnTo>
                    <a:lnTo>
                      <a:pt x="634" y="563"/>
                    </a:lnTo>
                    <a:lnTo>
                      <a:pt x="634" y="563"/>
                    </a:lnTo>
                    <a:lnTo>
                      <a:pt x="634" y="563"/>
                    </a:lnTo>
                    <a:lnTo>
                      <a:pt x="634" y="563"/>
                    </a:lnTo>
                    <a:lnTo>
                      <a:pt x="634" y="563"/>
                    </a:lnTo>
                    <a:lnTo>
                      <a:pt x="634" y="563"/>
                    </a:lnTo>
                    <a:lnTo>
                      <a:pt x="634" y="563"/>
                    </a:lnTo>
                    <a:lnTo>
                      <a:pt x="634" y="563"/>
                    </a:lnTo>
                    <a:lnTo>
                      <a:pt x="643" y="563"/>
                    </a:lnTo>
                    <a:lnTo>
                      <a:pt x="643" y="563"/>
                    </a:lnTo>
                    <a:lnTo>
                      <a:pt x="643" y="563"/>
                    </a:lnTo>
                    <a:lnTo>
                      <a:pt x="643" y="563"/>
                    </a:lnTo>
                    <a:lnTo>
                      <a:pt x="643" y="563"/>
                    </a:lnTo>
                    <a:lnTo>
                      <a:pt x="643" y="563"/>
                    </a:lnTo>
                    <a:lnTo>
                      <a:pt x="643" y="563"/>
                    </a:lnTo>
                    <a:lnTo>
                      <a:pt x="643" y="563"/>
                    </a:lnTo>
                    <a:lnTo>
                      <a:pt x="643" y="563"/>
                    </a:lnTo>
                    <a:lnTo>
                      <a:pt x="643" y="563"/>
                    </a:lnTo>
                    <a:lnTo>
                      <a:pt x="643" y="563"/>
                    </a:lnTo>
                    <a:lnTo>
                      <a:pt x="643" y="572"/>
                    </a:lnTo>
                    <a:lnTo>
                      <a:pt x="643" y="572"/>
                    </a:lnTo>
                    <a:lnTo>
                      <a:pt x="652" y="572"/>
                    </a:lnTo>
                    <a:lnTo>
                      <a:pt x="652" y="572"/>
                    </a:lnTo>
                    <a:lnTo>
                      <a:pt x="652" y="572"/>
                    </a:lnTo>
                    <a:lnTo>
                      <a:pt x="652" y="572"/>
                    </a:lnTo>
                    <a:lnTo>
                      <a:pt x="652" y="572"/>
                    </a:lnTo>
                    <a:lnTo>
                      <a:pt x="652" y="572"/>
                    </a:lnTo>
                    <a:lnTo>
                      <a:pt x="652" y="572"/>
                    </a:lnTo>
                    <a:lnTo>
                      <a:pt x="652" y="580"/>
                    </a:lnTo>
                    <a:lnTo>
                      <a:pt x="652" y="580"/>
                    </a:lnTo>
                    <a:lnTo>
                      <a:pt x="661" y="580"/>
                    </a:lnTo>
                    <a:lnTo>
                      <a:pt x="661" y="580"/>
                    </a:lnTo>
                    <a:lnTo>
                      <a:pt x="661" y="580"/>
                    </a:lnTo>
                    <a:lnTo>
                      <a:pt x="661" y="580"/>
                    </a:lnTo>
                    <a:lnTo>
                      <a:pt x="661" y="580"/>
                    </a:lnTo>
                    <a:lnTo>
                      <a:pt x="661" y="580"/>
                    </a:lnTo>
                    <a:lnTo>
                      <a:pt x="661" y="580"/>
                    </a:lnTo>
                    <a:lnTo>
                      <a:pt x="670" y="580"/>
                    </a:lnTo>
                    <a:lnTo>
                      <a:pt x="670" y="580"/>
                    </a:lnTo>
                    <a:lnTo>
                      <a:pt x="670" y="580"/>
                    </a:lnTo>
                    <a:lnTo>
                      <a:pt x="670" y="580"/>
                    </a:lnTo>
                    <a:lnTo>
                      <a:pt x="670" y="580"/>
                    </a:lnTo>
                    <a:lnTo>
                      <a:pt x="670" y="580"/>
                    </a:lnTo>
                    <a:lnTo>
                      <a:pt x="670" y="580"/>
                    </a:lnTo>
                    <a:lnTo>
                      <a:pt x="670" y="580"/>
                    </a:lnTo>
                    <a:lnTo>
                      <a:pt x="679" y="580"/>
                    </a:lnTo>
                    <a:lnTo>
                      <a:pt x="679" y="580"/>
                    </a:lnTo>
                    <a:lnTo>
                      <a:pt x="679" y="580"/>
                    </a:lnTo>
                    <a:lnTo>
                      <a:pt x="679" y="580"/>
                    </a:lnTo>
                    <a:lnTo>
                      <a:pt x="679" y="580"/>
                    </a:lnTo>
                    <a:lnTo>
                      <a:pt x="679" y="580"/>
                    </a:lnTo>
                    <a:lnTo>
                      <a:pt x="679" y="580"/>
                    </a:lnTo>
                    <a:lnTo>
                      <a:pt x="679" y="580"/>
                    </a:lnTo>
                    <a:lnTo>
                      <a:pt x="688" y="572"/>
                    </a:lnTo>
                    <a:lnTo>
                      <a:pt x="688" y="572"/>
                    </a:lnTo>
                    <a:lnTo>
                      <a:pt x="688" y="572"/>
                    </a:lnTo>
                    <a:lnTo>
                      <a:pt x="688" y="572"/>
                    </a:lnTo>
                    <a:lnTo>
                      <a:pt x="688" y="572"/>
                    </a:lnTo>
                    <a:lnTo>
                      <a:pt x="688" y="572"/>
                    </a:lnTo>
                    <a:lnTo>
                      <a:pt x="688" y="572"/>
                    </a:lnTo>
                    <a:lnTo>
                      <a:pt x="688" y="572"/>
                    </a:lnTo>
                    <a:lnTo>
                      <a:pt x="688" y="563"/>
                    </a:lnTo>
                    <a:lnTo>
                      <a:pt x="688" y="563"/>
                    </a:lnTo>
                    <a:lnTo>
                      <a:pt x="688" y="563"/>
                    </a:lnTo>
                    <a:lnTo>
                      <a:pt x="688" y="563"/>
                    </a:lnTo>
                    <a:lnTo>
                      <a:pt x="688" y="563"/>
                    </a:lnTo>
                    <a:lnTo>
                      <a:pt x="697" y="563"/>
                    </a:lnTo>
                    <a:lnTo>
                      <a:pt x="697" y="554"/>
                    </a:lnTo>
                    <a:lnTo>
                      <a:pt x="697" y="554"/>
                    </a:lnTo>
                    <a:lnTo>
                      <a:pt x="697" y="554"/>
                    </a:lnTo>
                    <a:lnTo>
                      <a:pt x="697" y="554"/>
                    </a:lnTo>
                    <a:lnTo>
                      <a:pt x="697" y="545"/>
                    </a:lnTo>
                    <a:lnTo>
                      <a:pt x="697" y="545"/>
                    </a:lnTo>
                    <a:lnTo>
                      <a:pt x="697" y="545"/>
                    </a:lnTo>
                    <a:lnTo>
                      <a:pt x="697" y="545"/>
                    </a:lnTo>
                    <a:lnTo>
                      <a:pt x="697" y="545"/>
                    </a:lnTo>
                    <a:lnTo>
                      <a:pt x="697" y="545"/>
                    </a:lnTo>
                    <a:lnTo>
                      <a:pt x="697" y="536"/>
                    </a:lnTo>
                    <a:lnTo>
                      <a:pt x="697" y="536"/>
                    </a:lnTo>
                    <a:lnTo>
                      <a:pt x="697" y="536"/>
                    </a:lnTo>
                    <a:lnTo>
                      <a:pt x="697" y="536"/>
                    </a:lnTo>
                    <a:lnTo>
                      <a:pt x="697" y="536"/>
                    </a:lnTo>
                    <a:lnTo>
                      <a:pt x="697" y="536"/>
                    </a:lnTo>
                    <a:lnTo>
                      <a:pt x="705" y="536"/>
                    </a:lnTo>
                    <a:lnTo>
                      <a:pt x="705" y="536"/>
                    </a:lnTo>
                    <a:lnTo>
                      <a:pt x="705" y="536"/>
                    </a:lnTo>
                    <a:lnTo>
                      <a:pt x="705" y="536"/>
                    </a:lnTo>
                    <a:lnTo>
                      <a:pt x="705" y="536"/>
                    </a:lnTo>
                    <a:lnTo>
                      <a:pt x="705" y="536"/>
                    </a:lnTo>
                    <a:lnTo>
                      <a:pt x="705" y="536"/>
                    </a:lnTo>
                    <a:lnTo>
                      <a:pt x="714" y="536"/>
                    </a:lnTo>
                    <a:lnTo>
                      <a:pt x="714" y="536"/>
                    </a:lnTo>
                    <a:lnTo>
                      <a:pt x="714" y="536"/>
                    </a:lnTo>
                    <a:lnTo>
                      <a:pt x="714" y="536"/>
                    </a:lnTo>
                    <a:lnTo>
                      <a:pt x="723" y="536"/>
                    </a:lnTo>
                    <a:lnTo>
                      <a:pt x="723" y="536"/>
                    </a:lnTo>
                    <a:lnTo>
                      <a:pt x="723" y="536"/>
                    </a:lnTo>
                    <a:lnTo>
                      <a:pt x="723" y="536"/>
                    </a:lnTo>
                    <a:lnTo>
                      <a:pt x="723" y="536"/>
                    </a:lnTo>
                    <a:lnTo>
                      <a:pt x="732" y="536"/>
                    </a:lnTo>
                    <a:lnTo>
                      <a:pt x="732" y="536"/>
                    </a:lnTo>
                    <a:lnTo>
                      <a:pt x="732" y="536"/>
                    </a:lnTo>
                    <a:lnTo>
                      <a:pt x="741" y="536"/>
                    </a:lnTo>
                    <a:lnTo>
                      <a:pt x="741" y="536"/>
                    </a:lnTo>
                    <a:lnTo>
                      <a:pt x="741" y="536"/>
                    </a:lnTo>
                    <a:lnTo>
                      <a:pt x="741" y="536"/>
                    </a:lnTo>
                    <a:lnTo>
                      <a:pt x="741" y="536"/>
                    </a:lnTo>
                    <a:lnTo>
                      <a:pt x="750" y="536"/>
                    </a:lnTo>
                    <a:lnTo>
                      <a:pt x="750" y="536"/>
                    </a:lnTo>
                    <a:lnTo>
                      <a:pt x="750" y="536"/>
                    </a:lnTo>
                    <a:lnTo>
                      <a:pt x="759" y="536"/>
                    </a:lnTo>
                    <a:lnTo>
                      <a:pt x="759" y="536"/>
                    </a:lnTo>
                    <a:lnTo>
                      <a:pt x="759" y="536"/>
                    </a:lnTo>
                    <a:lnTo>
                      <a:pt x="759" y="536"/>
                    </a:lnTo>
                    <a:lnTo>
                      <a:pt x="759" y="536"/>
                    </a:lnTo>
                    <a:lnTo>
                      <a:pt x="768" y="536"/>
                    </a:lnTo>
                    <a:lnTo>
                      <a:pt x="768" y="536"/>
                    </a:lnTo>
                    <a:lnTo>
                      <a:pt x="768" y="536"/>
                    </a:lnTo>
                    <a:lnTo>
                      <a:pt x="777" y="536"/>
                    </a:lnTo>
                    <a:lnTo>
                      <a:pt x="777" y="536"/>
                    </a:lnTo>
                    <a:lnTo>
                      <a:pt x="777" y="536"/>
                    </a:lnTo>
                    <a:lnTo>
                      <a:pt x="777" y="536"/>
                    </a:lnTo>
                    <a:lnTo>
                      <a:pt x="777" y="536"/>
                    </a:lnTo>
                    <a:lnTo>
                      <a:pt x="786" y="536"/>
                    </a:lnTo>
                    <a:lnTo>
                      <a:pt x="786" y="536"/>
                    </a:lnTo>
                    <a:lnTo>
                      <a:pt x="786" y="536"/>
                    </a:lnTo>
                    <a:lnTo>
                      <a:pt x="786" y="536"/>
                    </a:lnTo>
                    <a:lnTo>
                      <a:pt x="786" y="545"/>
                    </a:lnTo>
                    <a:lnTo>
                      <a:pt x="795" y="545"/>
                    </a:lnTo>
                    <a:lnTo>
                      <a:pt x="795" y="545"/>
                    </a:lnTo>
                    <a:lnTo>
                      <a:pt x="795" y="545"/>
                    </a:lnTo>
                    <a:lnTo>
                      <a:pt x="795" y="545"/>
                    </a:lnTo>
                    <a:lnTo>
                      <a:pt x="795" y="545"/>
                    </a:lnTo>
                    <a:lnTo>
                      <a:pt x="795" y="545"/>
                    </a:lnTo>
                    <a:lnTo>
                      <a:pt x="804" y="554"/>
                    </a:lnTo>
                    <a:lnTo>
                      <a:pt x="804" y="554"/>
                    </a:lnTo>
                    <a:lnTo>
                      <a:pt x="804" y="554"/>
                    </a:lnTo>
                    <a:lnTo>
                      <a:pt x="804" y="554"/>
                    </a:lnTo>
                    <a:lnTo>
                      <a:pt x="804" y="554"/>
                    </a:lnTo>
                    <a:lnTo>
                      <a:pt x="804" y="554"/>
                    </a:lnTo>
                    <a:lnTo>
                      <a:pt x="804" y="554"/>
                    </a:lnTo>
                    <a:lnTo>
                      <a:pt x="813" y="554"/>
                    </a:lnTo>
                    <a:lnTo>
                      <a:pt x="813" y="554"/>
                    </a:lnTo>
                    <a:lnTo>
                      <a:pt x="813" y="554"/>
                    </a:lnTo>
                    <a:lnTo>
                      <a:pt x="813" y="554"/>
                    </a:lnTo>
                    <a:lnTo>
                      <a:pt x="813" y="554"/>
                    </a:lnTo>
                    <a:lnTo>
                      <a:pt x="822" y="554"/>
                    </a:lnTo>
                    <a:lnTo>
                      <a:pt x="822" y="554"/>
                    </a:lnTo>
                    <a:lnTo>
                      <a:pt x="822" y="554"/>
                    </a:lnTo>
                    <a:lnTo>
                      <a:pt x="822" y="554"/>
                    </a:lnTo>
                    <a:lnTo>
                      <a:pt x="831" y="554"/>
                    </a:lnTo>
                    <a:lnTo>
                      <a:pt x="831" y="563"/>
                    </a:lnTo>
                    <a:lnTo>
                      <a:pt x="831" y="563"/>
                    </a:lnTo>
                    <a:lnTo>
                      <a:pt x="831" y="563"/>
                    </a:lnTo>
                    <a:lnTo>
                      <a:pt x="831" y="563"/>
                    </a:lnTo>
                    <a:lnTo>
                      <a:pt x="831" y="563"/>
                    </a:lnTo>
                    <a:lnTo>
                      <a:pt x="831" y="563"/>
                    </a:lnTo>
                    <a:lnTo>
                      <a:pt x="839" y="563"/>
                    </a:lnTo>
                    <a:lnTo>
                      <a:pt x="839" y="563"/>
                    </a:lnTo>
                    <a:lnTo>
                      <a:pt x="839" y="563"/>
                    </a:lnTo>
                    <a:lnTo>
                      <a:pt x="839" y="563"/>
                    </a:lnTo>
                    <a:lnTo>
                      <a:pt x="839" y="572"/>
                    </a:lnTo>
                    <a:lnTo>
                      <a:pt x="839" y="572"/>
                    </a:lnTo>
                    <a:lnTo>
                      <a:pt x="839" y="572"/>
                    </a:lnTo>
                    <a:lnTo>
                      <a:pt x="839" y="572"/>
                    </a:lnTo>
                    <a:lnTo>
                      <a:pt x="848" y="572"/>
                    </a:lnTo>
                    <a:lnTo>
                      <a:pt x="848" y="580"/>
                    </a:lnTo>
                    <a:lnTo>
                      <a:pt x="848" y="580"/>
                    </a:lnTo>
                    <a:lnTo>
                      <a:pt x="848" y="580"/>
                    </a:lnTo>
                  </a:path>
                </a:pathLst>
              </a:custGeom>
              <a:solidFill>
                <a:schemeClr val="accent6">
                  <a:lumMod val="50000"/>
                </a:schemeClr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40" name="Freeform 63">
                <a:extLst>
                  <a:ext uri="{FF2B5EF4-FFF2-40B4-BE49-F238E27FC236}">
                    <a16:creationId xmlns:a16="http://schemas.microsoft.com/office/drawing/2014/main" id="{00000000-0008-0000-0C00-000028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466" y="8491"/>
                <a:ext cx="2337" cy="1736"/>
              </a:xfrm>
              <a:custGeom>
                <a:avLst/>
                <a:gdLst>
                  <a:gd name="T0" fmla="*/ 572 w 1054"/>
                  <a:gd name="T1" fmla="*/ 678 h 732"/>
                  <a:gd name="T2" fmla="*/ 608 w 1054"/>
                  <a:gd name="T3" fmla="*/ 625 h 732"/>
                  <a:gd name="T4" fmla="*/ 644 w 1054"/>
                  <a:gd name="T5" fmla="*/ 580 h 732"/>
                  <a:gd name="T6" fmla="*/ 670 w 1054"/>
                  <a:gd name="T7" fmla="*/ 509 h 732"/>
                  <a:gd name="T8" fmla="*/ 733 w 1054"/>
                  <a:gd name="T9" fmla="*/ 464 h 732"/>
                  <a:gd name="T10" fmla="*/ 769 w 1054"/>
                  <a:gd name="T11" fmla="*/ 420 h 732"/>
                  <a:gd name="T12" fmla="*/ 813 w 1054"/>
                  <a:gd name="T13" fmla="*/ 339 h 732"/>
                  <a:gd name="T14" fmla="*/ 876 w 1054"/>
                  <a:gd name="T15" fmla="*/ 277 h 732"/>
                  <a:gd name="T16" fmla="*/ 903 w 1054"/>
                  <a:gd name="T17" fmla="*/ 214 h 732"/>
                  <a:gd name="T18" fmla="*/ 956 w 1054"/>
                  <a:gd name="T19" fmla="*/ 187 h 732"/>
                  <a:gd name="T20" fmla="*/ 983 w 1054"/>
                  <a:gd name="T21" fmla="*/ 125 h 732"/>
                  <a:gd name="T22" fmla="*/ 1019 w 1054"/>
                  <a:gd name="T23" fmla="*/ 98 h 732"/>
                  <a:gd name="T24" fmla="*/ 1045 w 1054"/>
                  <a:gd name="T25" fmla="*/ 53 h 732"/>
                  <a:gd name="T26" fmla="*/ 1045 w 1054"/>
                  <a:gd name="T27" fmla="*/ 36 h 732"/>
                  <a:gd name="T28" fmla="*/ 1028 w 1054"/>
                  <a:gd name="T29" fmla="*/ 18 h 732"/>
                  <a:gd name="T30" fmla="*/ 1001 w 1054"/>
                  <a:gd name="T31" fmla="*/ 9 h 732"/>
                  <a:gd name="T32" fmla="*/ 965 w 1054"/>
                  <a:gd name="T33" fmla="*/ 0 h 732"/>
                  <a:gd name="T34" fmla="*/ 929 w 1054"/>
                  <a:gd name="T35" fmla="*/ 0 h 732"/>
                  <a:gd name="T36" fmla="*/ 903 w 1054"/>
                  <a:gd name="T37" fmla="*/ 0 h 732"/>
                  <a:gd name="T38" fmla="*/ 903 w 1054"/>
                  <a:gd name="T39" fmla="*/ 27 h 732"/>
                  <a:gd name="T40" fmla="*/ 885 w 1054"/>
                  <a:gd name="T41" fmla="*/ 44 h 732"/>
                  <a:gd name="T42" fmla="*/ 867 w 1054"/>
                  <a:gd name="T43" fmla="*/ 44 h 732"/>
                  <a:gd name="T44" fmla="*/ 849 w 1054"/>
                  <a:gd name="T45" fmla="*/ 27 h 732"/>
                  <a:gd name="T46" fmla="*/ 840 w 1054"/>
                  <a:gd name="T47" fmla="*/ 27 h 732"/>
                  <a:gd name="T48" fmla="*/ 831 w 1054"/>
                  <a:gd name="T49" fmla="*/ 44 h 732"/>
                  <a:gd name="T50" fmla="*/ 822 w 1054"/>
                  <a:gd name="T51" fmla="*/ 62 h 732"/>
                  <a:gd name="T52" fmla="*/ 813 w 1054"/>
                  <a:gd name="T53" fmla="*/ 62 h 732"/>
                  <a:gd name="T54" fmla="*/ 822 w 1054"/>
                  <a:gd name="T55" fmla="*/ 80 h 732"/>
                  <a:gd name="T56" fmla="*/ 813 w 1054"/>
                  <a:gd name="T57" fmla="*/ 89 h 732"/>
                  <a:gd name="T58" fmla="*/ 778 w 1054"/>
                  <a:gd name="T59" fmla="*/ 89 h 732"/>
                  <a:gd name="T60" fmla="*/ 769 w 1054"/>
                  <a:gd name="T61" fmla="*/ 89 h 732"/>
                  <a:gd name="T62" fmla="*/ 760 w 1054"/>
                  <a:gd name="T63" fmla="*/ 71 h 732"/>
                  <a:gd name="T64" fmla="*/ 733 w 1054"/>
                  <a:gd name="T65" fmla="*/ 71 h 732"/>
                  <a:gd name="T66" fmla="*/ 688 w 1054"/>
                  <a:gd name="T67" fmla="*/ 71 h 732"/>
                  <a:gd name="T68" fmla="*/ 652 w 1054"/>
                  <a:gd name="T69" fmla="*/ 71 h 732"/>
                  <a:gd name="T70" fmla="*/ 626 w 1054"/>
                  <a:gd name="T71" fmla="*/ 71 h 732"/>
                  <a:gd name="T72" fmla="*/ 626 w 1054"/>
                  <a:gd name="T73" fmla="*/ 53 h 732"/>
                  <a:gd name="T74" fmla="*/ 617 w 1054"/>
                  <a:gd name="T75" fmla="*/ 44 h 732"/>
                  <a:gd name="T76" fmla="*/ 590 w 1054"/>
                  <a:gd name="T77" fmla="*/ 36 h 732"/>
                  <a:gd name="T78" fmla="*/ 572 w 1054"/>
                  <a:gd name="T79" fmla="*/ 53 h 732"/>
                  <a:gd name="T80" fmla="*/ 563 w 1054"/>
                  <a:gd name="T81" fmla="*/ 71 h 732"/>
                  <a:gd name="T82" fmla="*/ 545 w 1054"/>
                  <a:gd name="T83" fmla="*/ 89 h 732"/>
                  <a:gd name="T84" fmla="*/ 536 w 1054"/>
                  <a:gd name="T85" fmla="*/ 134 h 732"/>
                  <a:gd name="T86" fmla="*/ 518 w 1054"/>
                  <a:gd name="T87" fmla="*/ 143 h 732"/>
                  <a:gd name="T88" fmla="*/ 492 w 1054"/>
                  <a:gd name="T89" fmla="*/ 161 h 732"/>
                  <a:gd name="T90" fmla="*/ 438 w 1054"/>
                  <a:gd name="T91" fmla="*/ 196 h 732"/>
                  <a:gd name="T92" fmla="*/ 393 w 1054"/>
                  <a:gd name="T93" fmla="*/ 196 h 732"/>
                  <a:gd name="T94" fmla="*/ 340 w 1054"/>
                  <a:gd name="T95" fmla="*/ 196 h 732"/>
                  <a:gd name="T96" fmla="*/ 295 w 1054"/>
                  <a:gd name="T97" fmla="*/ 187 h 732"/>
                  <a:gd name="T98" fmla="*/ 268 w 1054"/>
                  <a:gd name="T99" fmla="*/ 178 h 732"/>
                  <a:gd name="T100" fmla="*/ 242 w 1054"/>
                  <a:gd name="T101" fmla="*/ 170 h 732"/>
                  <a:gd name="T102" fmla="*/ 251 w 1054"/>
                  <a:gd name="T103" fmla="*/ 143 h 732"/>
                  <a:gd name="T104" fmla="*/ 242 w 1054"/>
                  <a:gd name="T105" fmla="*/ 134 h 732"/>
                  <a:gd name="T106" fmla="*/ 215 w 1054"/>
                  <a:gd name="T107" fmla="*/ 116 h 732"/>
                  <a:gd name="T108" fmla="*/ 54 w 1054"/>
                  <a:gd name="T109" fmla="*/ 98 h 732"/>
                  <a:gd name="T110" fmla="*/ 27 w 1054"/>
                  <a:gd name="T111" fmla="*/ 384 h 732"/>
                  <a:gd name="T112" fmla="*/ 72 w 1054"/>
                  <a:gd name="T113" fmla="*/ 527 h 732"/>
                  <a:gd name="T114" fmla="*/ 179 w 1054"/>
                  <a:gd name="T115" fmla="*/ 670 h 732"/>
                  <a:gd name="T116" fmla="*/ 340 w 1054"/>
                  <a:gd name="T117" fmla="*/ 562 h 732"/>
                  <a:gd name="T118" fmla="*/ 483 w 1054"/>
                  <a:gd name="T119" fmla="*/ 687 h 73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</a:cxnLst>
                <a:rect l="0" t="0" r="r" b="b"/>
                <a:pathLst>
                  <a:path w="1054" h="732">
                    <a:moveTo>
                      <a:pt x="536" y="732"/>
                    </a:moveTo>
                    <a:lnTo>
                      <a:pt x="536" y="732"/>
                    </a:lnTo>
                    <a:lnTo>
                      <a:pt x="536" y="723"/>
                    </a:lnTo>
                    <a:lnTo>
                      <a:pt x="545" y="723"/>
                    </a:lnTo>
                    <a:lnTo>
                      <a:pt x="545" y="723"/>
                    </a:lnTo>
                    <a:lnTo>
                      <a:pt x="545" y="723"/>
                    </a:lnTo>
                    <a:lnTo>
                      <a:pt x="545" y="714"/>
                    </a:lnTo>
                    <a:lnTo>
                      <a:pt x="545" y="714"/>
                    </a:lnTo>
                    <a:lnTo>
                      <a:pt x="554" y="714"/>
                    </a:lnTo>
                    <a:lnTo>
                      <a:pt x="554" y="714"/>
                    </a:lnTo>
                    <a:lnTo>
                      <a:pt x="554" y="705"/>
                    </a:lnTo>
                    <a:lnTo>
                      <a:pt x="563" y="696"/>
                    </a:lnTo>
                    <a:lnTo>
                      <a:pt x="563" y="696"/>
                    </a:lnTo>
                    <a:lnTo>
                      <a:pt x="563" y="687"/>
                    </a:lnTo>
                    <a:lnTo>
                      <a:pt x="572" y="687"/>
                    </a:lnTo>
                    <a:lnTo>
                      <a:pt x="572" y="678"/>
                    </a:lnTo>
                    <a:lnTo>
                      <a:pt x="572" y="670"/>
                    </a:lnTo>
                    <a:lnTo>
                      <a:pt x="572" y="670"/>
                    </a:lnTo>
                    <a:lnTo>
                      <a:pt x="581" y="661"/>
                    </a:lnTo>
                    <a:lnTo>
                      <a:pt x="581" y="661"/>
                    </a:lnTo>
                    <a:lnTo>
                      <a:pt x="581" y="652"/>
                    </a:lnTo>
                    <a:lnTo>
                      <a:pt x="581" y="652"/>
                    </a:lnTo>
                    <a:lnTo>
                      <a:pt x="590" y="652"/>
                    </a:lnTo>
                    <a:lnTo>
                      <a:pt x="590" y="643"/>
                    </a:lnTo>
                    <a:lnTo>
                      <a:pt x="590" y="643"/>
                    </a:lnTo>
                    <a:lnTo>
                      <a:pt x="599" y="643"/>
                    </a:lnTo>
                    <a:lnTo>
                      <a:pt x="599" y="634"/>
                    </a:lnTo>
                    <a:lnTo>
                      <a:pt x="599" y="634"/>
                    </a:lnTo>
                    <a:lnTo>
                      <a:pt x="599" y="634"/>
                    </a:lnTo>
                    <a:lnTo>
                      <a:pt x="608" y="634"/>
                    </a:lnTo>
                    <a:lnTo>
                      <a:pt x="608" y="634"/>
                    </a:lnTo>
                    <a:lnTo>
                      <a:pt x="608" y="625"/>
                    </a:lnTo>
                    <a:lnTo>
                      <a:pt x="617" y="625"/>
                    </a:lnTo>
                    <a:lnTo>
                      <a:pt x="617" y="625"/>
                    </a:lnTo>
                    <a:lnTo>
                      <a:pt x="617" y="616"/>
                    </a:lnTo>
                    <a:lnTo>
                      <a:pt x="617" y="616"/>
                    </a:lnTo>
                    <a:lnTo>
                      <a:pt x="626" y="607"/>
                    </a:lnTo>
                    <a:lnTo>
                      <a:pt x="626" y="607"/>
                    </a:lnTo>
                    <a:lnTo>
                      <a:pt x="626" y="598"/>
                    </a:lnTo>
                    <a:lnTo>
                      <a:pt x="626" y="598"/>
                    </a:lnTo>
                    <a:lnTo>
                      <a:pt x="626" y="589"/>
                    </a:lnTo>
                    <a:lnTo>
                      <a:pt x="626" y="589"/>
                    </a:lnTo>
                    <a:lnTo>
                      <a:pt x="635" y="589"/>
                    </a:lnTo>
                    <a:lnTo>
                      <a:pt x="635" y="589"/>
                    </a:lnTo>
                    <a:lnTo>
                      <a:pt x="635" y="580"/>
                    </a:lnTo>
                    <a:lnTo>
                      <a:pt x="644" y="580"/>
                    </a:lnTo>
                    <a:lnTo>
                      <a:pt x="644" y="580"/>
                    </a:lnTo>
                    <a:lnTo>
                      <a:pt x="644" y="580"/>
                    </a:lnTo>
                    <a:lnTo>
                      <a:pt x="644" y="580"/>
                    </a:lnTo>
                    <a:lnTo>
                      <a:pt x="652" y="571"/>
                    </a:lnTo>
                    <a:lnTo>
                      <a:pt x="652" y="571"/>
                    </a:lnTo>
                    <a:lnTo>
                      <a:pt x="652" y="571"/>
                    </a:lnTo>
                    <a:lnTo>
                      <a:pt x="652" y="571"/>
                    </a:lnTo>
                    <a:lnTo>
                      <a:pt x="652" y="562"/>
                    </a:lnTo>
                    <a:lnTo>
                      <a:pt x="644" y="562"/>
                    </a:lnTo>
                    <a:lnTo>
                      <a:pt x="644" y="562"/>
                    </a:lnTo>
                    <a:lnTo>
                      <a:pt x="644" y="553"/>
                    </a:lnTo>
                    <a:lnTo>
                      <a:pt x="652" y="553"/>
                    </a:lnTo>
                    <a:lnTo>
                      <a:pt x="652" y="545"/>
                    </a:lnTo>
                    <a:lnTo>
                      <a:pt x="652" y="536"/>
                    </a:lnTo>
                    <a:lnTo>
                      <a:pt x="652" y="527"/>
                    </a:lnTo>
                    <a:lnTo>
                      <a:pt x="661" y="527"/>
                    </a:lnTo>
                    <a:lnTo>
                      <a:pt x="661" y="518"/>
                    </a:lnTo>
                    <a:lnTo>
                      <a:pt x="670" y="509"/>
                    </a:lnTo>
                    <a:lnTo>
                      <a:pt x="670" y="500"/>
                    </a:lnTo>
                    <a:lnTo>
                      <a:pt x="679" y="491"/>
                    </a:lnTo>
                    <a:lnTo>
                      <a:pt x="679" y="491"/>
                    </a:lnTo>
                    <a:lnTo>
                      <a:pt x="688" y="491"/>
                    </a:lnTo>
                    <a:lnTo>
                      <a:pt x="688" y="491"/>
                    </a:lnTo>
                    <a:lnTo>
                      <a:pt x="697" y="491"/>
                    </a:lnTo>
                    <a:lnTo>
                      <a:pt x="706" y="491"/>
                    </a:lnTo>
                    <a:lnTo>
                      <a:pt x="706" y="491"/>
                    </a:lnTo>
                    <a:lnTo>
                      <a:pt x="715" y="491"/>
                    </a:lnTo>
                    <a:lnTo>
                      <a:pt x="715" y="482"/>
                    </a:lnTo>
                    <a:lnTo>
                      <a:pt x="724" y="482"/>
                    </a:lnTo>
                    <a:lnTo>
                      <a:pt x="724" y="482"/>
                    </a:lnTo>
                    <a:lnTo>
                      <a:pt x="724" y="473"/>
                    </a:lnTo>
                    <a:lnTo>
                      <a:pt x="733" y="473"/>
                    </a:lnTo>
                    <a:lnTo>
                      <a:pt x="733" y="464"/>
                    </a:lnTo>
                    <a:lnTo>
                      <a:pt x="733" y="464"/>
                    </a:lnTo>
                    <a:lnTo>
                      <a:pt x="733" y="455"/>
                    </a:lnTo>
                    <a:lnTo>
                      <a:pt x="733" y="455"/>
                    </a:lnTo>
                    <a:lnTo>
                      <a:pt x="733" y="455"/>
                    </a:lnTo>
                    <a:lnTo>
                      <a:pt x="742" y="446"/>
                    </a:lnTo>
                    <a:lnTo>
                      <a:pt x="742" y="446"/>
                    </a:lnTo>
                    <a:lnTo>
                      <a:pt x="751" y="446"/>
                    </a:lnTo>
                    <a:lnTo>
                      <a:pt x="751" y="437"/>
                    </a:lnTo>
                    <a:lnTo>
                      <a:pt x="751" y="437"/>
                    </a:lnTo>
                    <a:lnTo>
                      <a:pt x="751" y="428"/>
                    </a:lnTo>
                    <a:lnTo>
                      <a:pt x="760" y="428"/>
                    </a:lnTo>
                    <a:lnTo>
                      <a:pt x="760" y="420"/>
                    </a:lnTo>
                    <a:lnTo>
                      <a:pt x="760" y="420"/>
                    </a:lnTo>
                    <a:lnTo>
                      <a:pt x="760" y="420"/>
                    </a:lnTo>
                    <a:lnTo>
                      <a:pt x="769" y="420"/>
                    </a:lnTo>
                    <a:lnTo>
                      <a:pt x="769" y="420"/>
                    </a:lnTo>
                    <a:lnTo>
                      <a:pt x="769" y="420"/>
                    </a:lnTo>
                    <a:lnTo>
                      <a:pt x="778" y="420"/>
                    </a:lnTo>
                    <a:lnTo>
                      <a:pt x="778" y="411"/>
                    </a:lnTo>
                    <a:lnTo>
                      <a:pt x="778" y="411"/>
                    </a:lnTo>
                    <a:lnTo>
                      <a:pt x="778" y="402"/>
                    </a:lnTo>
                    <a:lnTo>
                      <a:pt x="786" y="402"/>
                    </a:lnTo>
                    <a:lnTo>
                      <a:pt x="786" y="393"/>
                    </a:lnTo>
                    <a:lnTo>
                      <a:pt x="786" y="384"/>
                    </a:lnTo>
                    <a:lnTo>
                      <a:pt x="795" y="375"/>
                    </a:lnTo>
                    <a:lnTo>
                      <a:pt x="795" y="366"/>
                    </a:lnTo>
                    <a:lnTo>
                      <a:pt x="795" y="366"/>
                    </a:lnTo>
                    <a:lnTo>
                      <a:pt x="804" y="357"/>
                    </a:lnTo>
                    <a:lnTo>
                      <a:pt x="804" y="357"/>
                    </a:lnTo>
                    <a:lnTo>
                      <a:pt x="804" y="348"/>
                    </a:lnTo>
                    <a:lnTo>
                      <a:pt x="804" y="348"/>
                    </a:lnTo>
                    <a:lnTo>
                      <a:pt x="813" y="348"/>
                    </a:lnTo>
                    <a:lnTo>
                      <a:pt x="813" y="339"/>
                    </a:lnTo>
                    <a:lnTo>
                      <a:pt x="822" y="339"/>
                    </a:lnTo>
                    <a:lnTo>
                      <a:pt x="822" y="330"/>
                    </a:lnTo>
                    <a:lnTo>
                      <a:pt x="822" y="330"/>
                    </a:lnTo>
                    <a:lnTo>
                      <a:pt x="831" y="321"/>
                    </a:lnTo>
                    <a:lnTo>
                      <a:pt x="831" y="321"/>
                    </a:lnTo>
                    <a:lnTo>
                      <a:pt x="831" y="312"/>
                    </a:lnTo>
                    <a:lnTo>
                      <a:pt x="840" y="312"/>
                    </a:lnTo>
                    <a:lnTo>
                      <a:pt x="840" y="303"/>
                    </a:lnTo>
                    <a:lnTo>
                      <a:pt x="840" y="295"/>
                    </a:lnTo>
                    <a:lnTo>
                      <a:pt x="849" y="295"/>
                    </a:lnTo>
                    <a:lnTo>
                      <a:pt x="849" y="295"/>
                    </a:lnTo>
                    <a:lnTo>
                      <a:pt x="858" y="286"/>
                    </a:lnTo>
                    <a:lnTo>
                      <a:pt x="858" y="286"/>
                    </a:lnTo>
                    <a:lnTo>
                      <a:pt x="867" y="286"/>
                    </a:lnTo>
                    <a:lnTo>
                      <a:pt x="867" y="286"/>
                    </a:lnTo>
                    <a:lnTo>
                      <a:pt x="876" y="277"/>
                    </a:lnTo>
                    <a:lnTo>
                      <a:pt x="876" y="277"/>
                    </a:lnTo>
                    <a:lnTo>
                      <a:pt x="885" y="277"/>
                    </a:lnTo>
                    <a:lnTo>
                      <a:pt x="885" y="268"/>
                    </a:lnTo>
                    <a:lnTo>
                      <a:pt x="885" y="259"/>
                    </a:lnTo>
                    <a:lnTo>
                      <a:pt x="885" y="259"/>
                    </a:lnTo>
                    <a:lnTo>
                      <a:pt x="885" y="250"/>
                    </a:lnTo>
                    <a:lnTo>
                      <a:pt x="885" y="241"/>
                    </a:lnTo>
                    <a:lnTo>
                      <a:pt x="885" y="232"/>
                    </a:lnTo>
                    <a:lnTo>
                      <a:pt x="885" y="232"/>
                    </a:lnTo>
                    <a:lnTo>
                      <a:pt x="885" y="223"/>
                    </a:lnTo>
                    <a:lnTo>
                      <a:pt x="885" y="223"/>
                    </a:lnTo>
                    <a:lnTo>
                      <a:pt x="894" y="214"/>
                    </a:lnTo>
                    <a:lnTo>
                      <a:pt x="894" y="214"/>
                    </a:lnTo>
                    <a:lnTo>
                      <a:pt x="894" y="214"/>
                    </a:lnTo>
                    <a:lnTo>
                      <a:pt x="903" y="214"/>
                    </a:lnTo>
                    <a:lnTo>
                      <a:pt x="903" y="214"/>
                    </a:lnTo>
                    <a:lnTo>
                      <a:pt x="911" y="214"/>
                    </a:lnTo>
                    <a:lnTo>
                      <a:pt x="911" y="214"/>
                    </a:lnTo>
                    <a:lnTo>
                      <a:pt x="911" y="205"/>
                    </a:lnTo>
                    <a:lnTo>
                      <a:pt x="920" y="205"/>
                    </a:lnTo>
                    <a:lnTo>
                      <a:pt x="920" y="205"/>
                    </a:lnTo>
                    <a:lnTo>
                      <a:pt x="929" y="205"/>
                    </a:lnTo>
                    <a:lnTo>
                      <a:pt x="929" y="205"/>
                    </a:lnTo>
                    <a:lnTo>
                      <a:pt x="938" y="205"/>
                    </a:lnTo>
                    <a:lnTo>
                      <a:pt x="938" y="205"/>
                    </a:lnTo>
                    <a:lnTo>
                      <a:pt x="947" y="205"/>
                    </a:lnTo>
                    <a:lnTo>
                      <a:pt x="947" y="205"/>
                    </a:lnTo>
                    <a:lnTo>
                      <a:pt x="947" y="205"/>
                    </a:lnTo>
                    <a:lnTo>
                      <a:pt x="947" y="196"/>
                    </a:lnTo>
                    <a:lnTo>
                      <a:pt x="956" y="196"/>
                    </a:lnTo>
                    <a:lnTo>
                      <a:pt x="956" y="196"/>
                    </a:lnTo>
                    <a:lnTo>
                      <a:pt x="956" y="187"/>
                    </a:lnTo>
                    <a:lnTo>
                      <a:pt x="956" y="187"/>
                    </a:lnTo>
                    <a:lnTo>
                      <a:pt x="956" y="187"/>
                    </a:lnTo>
                    <a:lnTo>
                      <a:pt x="956" y="178"/>
                    </a:lnTo>
                    <a:lnTo>
                      <a:pt x="956" y="178"/>
                    </a:lnTo>
                    <a:lnTo>
                      <a:pt x="956" y="178"/>
                    </a:lnTo>
                    <a:lnTo>
                      <a:pt x="956" y="170"/>
                    </a:lnTo>
                    <a:lnTo>
                      <a:pt x="956" y="170"/>
                    </a:lnTo>
                    <a:lnTo>
                      <a:pt x="956" y="161"/>
                    </a:lnTo>
                    <a:lnTo>
                      <a:pt x="956" y="161"/>
                    </a:lnTo>
                    <a:lnTo>
                      <a:pt x="956" y="161"/>
                    </a:lnTo>
                    <a:lnTo>
                      <a:pt x="965" y="152"/>
                    </a:lnTo>
                    <a:lnTo>
                      <a:pt x="965" y="152"/>
                    </a:lnTo>
                    <a:lnTo>
                      <a:pt x="965" y="143"/>
                    </a:lnTo>
                    <a:lnTo>
                      <a:pt x="974" y="134"/>
                    </a:lnTo>
                    <a:lnTo>
                      <a:pt x="974" y="134"/>
                    </a:lnTo>
                    <a:lnTo>
                      <a:pt x="983" y="125"/>
                    </a:lnTo>
                    <a:lnTo>
                      <a:pt x="983" y="125"/>
                    </a:lnTo>
                    <a:lnTo>
                      <a:pt x="983" y="125"/>
                    </a:lnTo>
                    <a:lnTo>
                      <a:pt x="992" y="116"/>
                    </a:lnTo>
                    <a:lnTo>
                      <a:pt x="992" y="116"/>
                    </a:lnTo>
                    <a:lnTo>
                      <a:pt x="992" y="116"/>
                    </a:lnTo>
                    <a:lnTo>
                      <a:pt x="1001" y="116"/>
                    </a:lnTo>
                    <a:lnTo>
                      <a:pt x="1001" y="116"/>
                    </a:lnTo>
                    <a:lnTo>
                      <a:pt x="1001" y="107"/>
                    </a:lnTo>
                    <a:lnTo>
                      <a:pt x="1001" y="107"/>
                    </a:lnTo>
                    <a:lnTo>
                      <a:pt x="1010" y="107"/>
                    </a:lnTo>
                    <a:lnTo>
                      <a:pt x="1010" y="107"/>
                    </a:lnTo>
                    <a:lnTo>
                      <a:pt x="1010" y="107"/>
                    </a:lnTo>
                    <a:lnTo>
                      <a:pt x="1010" y="107"/>
                    </a:lnTo>
                    <a:lnTo>
                      <a:pt x="1010" y="107"/>
                    </a:lnTo>
                    <a:lnTo>
                      <a:pt x="1010" y="98"/>
                    </a:lnTo>
                    <a:lnTo>
                      <a:pt x="1019" y="98"/>
                    </a:lnTo>
                    <a:lnTo>
                      <a:pt x="1019" y="98"/>
                    </a:lnTo>
                    <a:lnTo>
                      <a:pt x="1019" y="98"/>
                    </a:lnTo>
                    <a:lnTo>
                      <a:pt x="1019" y="98"/>
                    </a:lnTo>
                    <a:lnTo>
                      <a:pt x="1019" y="89"/>
                    </a:lnTo>
                    <a:lnTo>
                      <a:pt x="1019" y="89"/>
                    </a:lnTo>
                    <a:lnTo>
                      <a:pt x="1028" y="89"/>
                    </a:lnTo>
                    <a:lnTo>
                      <a:pt x="1028" y="89"/>
                    </a:lnTo>
                    <a:lnTo>
                      <a:pt x="1028" y="80"/>
                    </a:lnTo>
                    <a:lnTo>
                      <a:pt x="1028" y="80"/>
                    </a:lnTo>
                    <a:lnTo>
                      <a:pt x="1028" y="80"/>
                    </a:lnTo>
                    <a:lnTo>
                      <a:pt x="1037" y="71"/>
                    </a:lnTo>
                    <a:lnTo>
                      <a:pt x="1037" y="71"/>
                    </a:lnTo>
                    <a:lnTo>
                      <a:pt x="1037" y="71"/>
                    </a:lnTo>
                    <a:lnTo>
                      <a:pt x="1037" y="62"/>
                    </a:lnTo>
                    <a:lnTo>
                      <a:pt x="1045" y="53"/>
                    </a:lnTo>
                    <a:lnTo>
                      <a:pt x="1045" y="53"/>
                    </a:lnTo>
                    <a:lnTo>
                      <a:pt x="1045" y="53"/>
                    </a:lnTo>
                    <a:lnTo>
                      <a:pt x="1045" y="44"/>
                    </a:lnTo>
                    <a:lnTo>
                      <a:pt x="1045" y="44"/>
                    </a:lnTo>
                    <a:lnTo>
                      <a:pt x="1045" y="44"/>
                    </a:lnTo>
                    <a:lnTo>
                      <a:pt x="1054" y="44"/>
                    </a:lnTo>
                    <a:lnTo>
                      <a:pt x="1054" y="44"/>
                    </a:lnTo>
                    <a:lnTo>
                      <a:pt x="1054" y="44"/>
                    </a:lnTo>
                    <a:lnTo>
                      <a:pt x="1054" y="44"/>
                    </a:lnTo>
                    <a:lnTo>
                      <a:pt x="1054" y="44"/>
                    </a:lnTo>
                    <a:lnTo>
                      <a:pt x="1054" y="44"/>
                    </a:lnTo>
                    <a:lnTo>
                      <a:pt x="1054" y="44"/>
                    </a:lnTo>
                    <a:lnTo>
                      <a:pt x="1054" y="44"/>
                    </a:lnTo>
                    <a:lnTo>
                      <a:pt x="1054" y="36"/>
                    </a:lnTo>
                    <a:lnTo>
                      <a:pt x="1045" y="36"/>
                    </a:lnTo>
                    <a:lnTo>
                      <a:pt x="1045" y="36"/>
                    </a:lnTo>
                    <a:lnTo>
                      <a:pt x="1045" y="36"/>
                    </a:lnTo>
                    <a:lnTo>
                      <a:pt x="1045" y="36"/>
                    </a:lnTo>
                    <a:lnTo>
                      <a:pt x="1045" y="27"/>
                    </a:lnTo>
                    <a:lnTo>
                      <a:pt x="1045" y="27"/>
                    </a:lnTo>
                    <a:lnTo>
                      <a:pt x="1045" y="27"/>
                    </a:lnTo>
                    <a:lnTo>
                      <a:pt x="1045" y="27"/>
                    </a:lnTo>
                    <a:lnTo>
                      <a:pt x="1037" y="27"/>
                    </a:lnTo>
                    <a:lnTo>
                      <a:pt x="1037" y="27"/>
                    </a:lnTo>
                    <a:lnTo>
                      <a:pt x="1037" y="27"/>
                    </a:lnTo>
                    <a:lnTo>
                      <a:pt x="1037" y="27"/>
                    </a:lnTo>
                    <a:lnTo>
                      <a:pt x="1037" y="27"/>
                    </a:lnTo>
                    <a:lnTo>
                      <a:pt x="1037" y="27"/>
                    </a:lnTo>
                    <a:lnTo>
                      <a:pt x="1037" y="18"/>
                    </a:lnTo>
                    <a:lnTo>
                      <a:pt x="1028" y="18"/>
                    </a:lnTo>
                    <a:lnTo>
                      <a:pt x="1028" y="18"/>
                    </a:lnTo>
                    <a:lnTo>
                      <a:pt x="1028" y="18"/>
                    </a:lnTo>
                    <a:lnTo>
                      <a:pt x="1028" y="18"/>
                    </a:lnTo>
                    <a:lnTo>
                      <a:pt x="1019" y="18"/>
                    </a:lnTo>
                    <a:lnTo>
                      <a:pt x="1019" y="18"/>
                    </a:lnTo>
                    <a:lnTo>
                      <a:pt x="1019" y="18"/>
                    </a:lnTo>
                    <a:lnTo>
                      <a:pt x="1019" y="18"/>
                    </a:lnTo>
                    <a:lnTo>
                      <a:pt x="1019" y="18"/>
                    </a:lnTo>
                    <a:lnTo>
                      <a:pt x="1010" y="18"/>
                    </a:lnTo>
                    <a:lnTo>
                      <a:pt x="1010" y="18"/>
                    </a:lnTo>
                    <a:lnTo>
                      <a:pt x="1010" y="18"/>
                    </a:lnTo>
                    <a:lnTo>
                      <a:pt x="1010" y="18"/>
                    </a:lnTo>
                    <a:lnTo>
                      <a:pt x="1010" y="18"/>
                    </a:lnTo>
                    <a:lnTo>
                      <a:pt x="1010" y="18"/>
                    </a:lnTo>
                    <a:lnTo>
                      <a:pt x="1010" y="18"/>
                    </a:lnTo>
                    <a:lnTo>
                      <a:pt x="1001" y="9"/>
                    </a:lnTo>
                    <a:lnTo>
                      <a:pt x="1001" y="9"/>
                    </a:lnTo>
                    <a:lnTo>
                      <a:pt x="1001" y="9"/>
                    </a:lnTo>
                    <a:lnTo>
                      <a:pt x="1001" y="9"/>
                    </a:lnTo>
                    <a:lnTo>
                      <a:pt x="1001" y="9"/>
                    </a:lnTo>
                    <a:lnTo>
                      <a:pt x="1001" y="9"/>
                    </a:lnTo>
                    <a:lnTo>
                      <a:pt x="992" y="9"/>
                    </a:lnTo>
                    <a:lnTo>
                      <a:pt x="992" y="0"/>
                    </a:lnTo>
                    <a:lnTo>
                      <a:pt x="992" y="0"/>
                    </a:lnTo>
                    <a:lnTo>
                      <a:pt x="992" y="0"/>
                    </a:lnTo>
                    <a:lnTo>
                      <a:pt x="992" y="0"/>
                    </a:lnTo>
                    <a:lnTo>
                      <a:pt x="983" y="0"/>
                    </a:lnTo>
                    <a:lnTo>
                      <a:pt x="983" y="0"/>
                    </a:lnTo>
                    <a:lnTo>
                      <a:pt x="983" y="0"/>
                    </a:lnTo>
                    <a:lnTo>
                      <a:pt x="983" y="0"/>
                    </a:lnTo>
                    <a:lnTo>
                      <a:pt x="983" y="0"/>
                    </a:lnTo>
                    <a:lnTo>
                      <a:pt x="974" y="0"/>
                    </a:lnTo>
                    <a:lnTo>
                      <a:pt x="974" y="0"/>
                    </a:lnTo>
                    <a:lnTo>
                      <a:pt x="974" y="0"/>
                    </a:lnTo>
                    <a:lnTo>
                      <a:pt x="965" y="0"/>
                    </a:lnTo>
                    <a:lnTo>
                      <a:pt x="965" y="0"/>
                    </a:lnTo>
                    <a:lnTo>
                      <a:pt x="965" y="0"/>
                    </a:lnTo>
                    <a:lnTo>
                      <a:pt x="965" y="0"/>
                    </a:lnTo>
                    <a:lnTo>
                      <a:pt x="965" y="0"/>
                    </a:lnTo>
                    <a:lnTo>
                      <a:pt x="956" y="0"/>
                    </a:lnTo>
                    <a:lnTo>
                      <a:pt x="956" y="0"/>
                    </a:lnTo>
                    <a:lnTo>
                      <a:pt x="956" y="0"/>
                    </a:lnTo>
                    <a:lnTo>
                      <a:pt x="947" y="0"/>
                    </a:lnTo>
                    <a:lnTo>
                      <a:pt x="947" y="0"/>
                    </a:lnTo>
                    <a:lnTo>
                      <a:pt x="947" y="0"/>
                    </a:lnTo>
                    <a:lnTo>
                      <a:pt x="947" y="0"/>
                    </a:lnTo>
                    <a:lnTo>
                      <a:pt x="947" y="0"/>
                    </a:lnTo>
                    <a:lnTo>
                      <a:pt x="938" y="0"/>
                    </a:lnTo>
                    <a:lnTo>
                      <a:pt x="938" y="0"/>
                    </a:lnTo>
                    <a:lnTo>
                      <a:pt x="938" y="0"/>
                    </a:lnTo>
                    <a:lnTo>
                      <a:pt x="929" y="0"/>
                    </a:lnTo>
                    <a:lnTo>
                      <a:pt x="929" y="0"/>
                    </a:lnTo>
                    <a:lnTo>
                      <a:pt x="929" y="0"/>
                    </a:lnTo>
                    <a:lnTo>
                      <a:pt x="929" y="0"/>
                    </a:lnTo>
                    <a:lnTo>
                      <a:pt x="929" y="0"/>
                    </a:lnTo>
                    <a:lnTo>
                      <a:pt x="920" y="0"/>
                    </a:lnTo>
                    <a:lnTo>
                      <a:pt x="920" y="0"/>
                    </a:lnTo>
                    <a:lnTo>
                      <a:pt x="920" y="0"/>
                    </a:lnTo>
                    <a:lnTo>
                      <a:pt x="920" y="0"/>
                    </a:lnTo>
                    <a:lnTo>
                      <a:pt x="911" y="0"/>
                    </a:lnTo>
                    <a:lnTo>
                      <a:pt x="911" y="0"/>
                    </a:lnTo>
                    <a:lnTo>
                      <a:pt x="911" y="0"/>
                    </a:lnTo>
                    <a:lnTo>
                      <a:pt x="911" y="0"/>
                    </a:lnTo>
                    <a:lnTo>
                      <a:pt x="911" y="0"/>
                    </a:lnTo>
                    <a:lnTo>
                      <a:pt x="911" y="0"/>
                    </a:lnTo>
                    <a:lnTo>
                      <a:pt x="911" y="0"/>
                    </a:lnTo>
                    <a:lnTo>
                      <a:pt x="903" y="0"/>
                    </a:lnTo>
                    <a:lnTo>
                      <a:pt x="903" y="0"/>
                    </a:lnTo>
                    <a:lnTo>
                      <a:pt x="903" y="0"/>
                    </a:lnTo>
                    <a:lnTo>
                      <a:pt x="903" y="0"/>
                    </a:lnTo>
                    <a:lnTo>
                      <a:pt x="903" y="0"/>
                    </a:lnTo>
                    <a:lnTo>
                      <a:pt x="903" y="0"/>
                    </a:lnTo>
                    <a:lnTo>
                      <a:pt x="903" y="9"/>
                    </a:lnTo>
                    <a:lnTo>
                      <a:pt x="903" y="9"/>
                    </a:lnTo>
                    <a:lnTo>
                      <a:pt x="903" y="9"/>
                    </a:lnTo>
                    <a:lnTo>
                      <a:pt x="903" y="9"/>
                    </a:lnTo>
                    <a:lnTo>
                      <a:pt x="903" y="9"/>
                    </a:lnTo>
                    <a:lnTo>
                      <a:pt x="903" y="9"/>
                    </a:lnTo>
                    <a:lnTo>
                      <a:pt x="903" y="18"/>
                    </a:lnTo>
                    <a:lnTo>
                      <a:pt x="903" y="18"/>
                    </a:lnTo>
                    <a:lnTo>
                      <a:pt x="903" y="18"/>
                    </a:lnTo>
                    <a:lnTo>
                      <a:pt x="903" y="18"/>
                    </a:lnTo>
                    <a:lnTo>
                      <a:pt x="903" y="27"/>
                    </a:lnTo>
                    <a:lnTo>
                      <a:pt x="894" y="27"/>
                    </a:lnTo>
                    <a:lnTo>
                      <a:pt x="894" y="27"/>
                    </a:lnTo>
                    <a:lnTo>
                      <a:pt x="894" y="27"/>
                    </a:lnTo>
                    <a:lnTo>
                      <a:pt x="894" y="27"/>
                    </a:lnTo>
                    <a:lnTo>
                      <a:pt x="894" y="27"/>
                    </a:lnTo>
                    <a:lnTo>
                      <a:pt x="894" y="36"/>
                    </a:lnTo>
                    <a:lnTo>
                      <a:pt x="894" y="36"/>
                    </a:lnTo>
                    <a:lnTo>
                      <a:pt x="894" y="36"/>
                    </a:lnTo>
                    <a:lnTo>
                      <a:pt x="894" y="36"/>
                    </a:lnTo>
                    <a:lnTo>
                      <a:pt x="894" y="36"/>
                    </a:lnTo>
                    <a:lnTo>
                      <a:pt x="894" y="36"/>
                    </a:lnTo>
                    <a:lnTo>
                      <a:pt x="894" y="36"/>
                    </a:lnTo>
                    <a:lnTo>
                      <a:pt x="894" y="36"/>
                    </a:lnTo>
                    <a:lnTo>
                      <a:pt x="885" y="44"/>
                    </a:lnTo>
                    <a:lnTo>
                      <a:pt x="885" y="44"/>
                    </a:lnTo>
                    <a:lnTo>
                      <a:pt x="885" y="44"/>
                    </a:lnTo>
                    <a:lnTo>
                      <a:pt x="885" y="44"/>
                    </a:lnTo>
                    <a:lnTo>
                      <a:pt x="885" y="44"/>
                    </a:lnTo>
                    <a:lnTo>
                      <a:pt x="885" y="44"/>
                    </a:lnTo>
                    <a:lnTo>
                      <a:pt x="885" y="44"/>
                    </a:lnTo>
                    <a:lnTo>
                      <a:pt x="885" y="44"/>
                    </a:lnTo>
                    <a:lnTo>
                      <a:pt x="876" y="44"/>
                    </a:lnTo>
                    <a:lnTo>
                      <a:pt x="876" y="44"/>
                    </a:lnTo>
                    <a:lnTo>
                      <a:pt x="876" y="44"/>
                    </a:lnTo>
                    <a:lnTo>
                      <a:pt x="876" y="44"/>
                    </a:lnTo>
                    <a:lnTo>
                      <a:pt x="876" y="44"/>
                    </a:lnTo>
                    <a:lnTo>
                      <a:pt x="876" y="44"/>
                    </a:lnTo>
                    <a:lnTo>
                      <a:pt x="876" y="44"/>
                    </a:lnTo>
                    <a:lnTo>
                      <a:pt x="876" y="44"/>
                    </a:lnTo>
                    <a:lnTo>
                      <a:pt x="867" y="44"/>
                    </a:lnTo>
                    <a:lnTo>
                      <a:pt x="867" y="44"/>
                    </a:lnTo>
                    <a:lnTo>
                      <a:pt x="867" y="44"/>
                    </a:lnTo>
                    <a:lnTo>
                      <a:pt x="867" y="44"/>
                    </a:lnTo>
                    <a:lnTo>
                      <a:pt x="867" y="44"/>
                    </a:lnTo>
                    <a:lnTo>
                      <a:pt x="867" y="44"/>
                    </a:lnTo>
                    <a:lnTo>
                      <a:pt x="867" y="44"/>
                    </a:lnTo>
                    <a:lnTo>
                      <a:pt x="858" y="44"/>
                    </a:lnTo>
                    <a:lnTo>
                      <a:pt x="858" y="44"/>
                    </a:lnTo>
                    <a:lnTo>
                      <a:pt x="858" y="36"/>
                    </a:lnTo>
                    <a:lnTo>
                      <a:pt x="858" y="36"/>
                    </a:lnTo>
                    <a:lnTo>
                      <a:pt x="858" y="36"/>
                    </a:lnTo>
                    <a:lnTo>
                      <a:pt x="858" y="36"/>
                    </a:lnTo>
                    <a:lnTo>
                      <a:pt x="858" y="36"/>
                    </a:lnTo>
                    <a:lnTo>
                      <a:pt x="858" y="36"/>
                    </a:lnTo>
                    <a:lnTo>
                      <a:pt x="858" y="36"/>
                    </a:lnTo>
                    <a:lnTo>
                      <a:pt x="849" y="36"/>
                    </a:lnTo>
                    <a:lnTo>
                      <a:pt x="849" y="36"/>
                    </a:lnTo>
                    <a:lnTo>
                      <a:pt x="849" y="27"/>
                    </a:lnTo>
                    <a:lnTo>
                      <a:pt x="849" y="27"/>
                    </a:lnTo>
                    <a:lnTo>
                      <a:pt x="849" y="27"/>
                    </a:lnTo>
                    <a:lnTo>
                      <a:pt x="849" y="27"/>
                    </a:lnTo>
                    <a:lnTo>
                      <a:pt x="849" y="27"/>
                    </a:lnTo>
                    <a:lnTo>
                      <a:pt x="849" y="27"/>
                    </a:lnTo>
                    <a:lnTo>
                      <a:pt x="849" y="27"/>
                    </a:lnTo>
                    <a:lnTo>
                      <a:pt x="849" y="27"/>
                    </a:lnTo>
                    <a:lnTo>
                      <a:pt x="849" y="27"/>
                    </a:lnTo>
                    <a:lnTo>
                      <a:pt x="849" y="27"/>
                    </a:lnTo>
                    <a:lnTo>
                      <a:pt x="849" y="27"/>
                    </a:lnTo>
                    <a:lnTo>
                      <a:pt x="840" y="27"/>
                    </a:lnTo>
                    <a:lnTo>
                      <a:pt x="840" y="27"/>
                    </a:lnTo>
                    <a:lnTo>
                      <a:pt x="840" y="27"/>
                    </a:lnTo>
                    <a:lnTo>
                      <a:pt x="840" y="27"/>
                    </a:lnTo>
                    <a:lnTo>
                      <a:pt x="840" y="27"/>
                    </a:lnTo>
                    <a:lnTo>
                      <a:pt x="840" y="27"/>
                    </a:lnTo>
                    <a:lnTo>
                      <a:pt x="840" y="27"/>
                    </a:lnTo>
                    <a:lnTo>
                      <a:pt x="840" y="27"/>
                    </a:lnTo>
                    <a:lnTo>
                      <a:pt x="840" y="27"/>
                    </a:lnTo>
                    <a:lnTo>
                      <a:pt x="840" y="27"/>
                    </a:lnTo>
                    <a:lnTo>
                      <a:pt x="831" y="36"/>
                    </a:lnTo>
                    <a:lnTo>
                      <a:pt x="831" y="36"/>
                    </a:lnTo>
                    <a:lnTo>
                      <a:pt x="831" y="36"/>
                    </a:lnTo>
                    <a:lnTo>
                      <a:pt x="831" y="36"/>
                    </a:lnTo>
                    <a:lnTo>
                      <a:pt x="831" y="36"/>
                    </a:lnTo>
                    <a:lnTo>
                      <a:pt x="831" y="36"/>
                    </a:lnTo>
                    <a:lnTo>
                      <a:pt x="831" y="36"/>
                    </a:lnTo>
                    <a:lnTo>
                      <a:pt x="831" y="36"/>
                    </a:lnTo>
                    <a:lnTo>
                      <a:pt x="831" y="44"/>
                    </a:lnTo>
                    <a:lnTo>
                      <a:pt x="831" y="44"/>
                    </a:lnTo>
                    <a:lnTo>
                      <a:pt x="831" y="44"/>
                    </a:lnTo>
                    <a:lnTo>
                      <a:pt x="831" y="44"/>
                    </a:lnTo>
                    <a:lnTo>
                      <a:pt x="831" y="44"/>
                    </a:lnTo>
                    <a:lnTo>
                      <a:pt x="831" y="44"/>
                    </a:lnTo>
                    <a:lnTo>
                      <a:pt x="831" y="44"/>
                    </a:lnTo>
                    <a:lnTo>
                      <a:pt x="831" y="53"/>
                    </a:lnTo>
                    <a:lnTo>
                      <a:pt x="831" y="53"/>
                    </a:lnTo>
                    <a:lnTo>
                      <a:pt x="831" y="53"/>
                    </a:lnTo>
                    <a:lnTo>
                      <a:pt x="831" y="53"/>
                    </a:lnTo>
                    <a:lnTo>
                      <a:pt x="831" y="53"/>
                    </a:lnTo>
                    <a:lnTo>
                      <a:pt x="831" y="53"/>
                    </a:lnTo>
                    <a:lnTo>
                      <a:pt x="831" y="53"/>
                    </a:lnTo>
                    <a:lnTo>
                      <a:pt x="831" y="53"/>
                    </a:lnTo>
                    <a:lnTo>
                      <a:pt x="831" y="53"/>
                    </a:lnTo>
                    <a:lnTo>
                      <a:pt x="822" y="53"/>
                    </a:lnTo>
                    <a:lnTo>
                      <a:pt x="822" y="62"/>
                    </a:lnTo>
                    <a:lnTo>
                      <a:pt x="822" y="62"/>
                    </a:lnTo>
                    <a:lnTo>
                      <a:pt x="822" y="62"/>
                    </a:lnTo>
                    <a:lnTo>
                      <a:pt x="822" y="62"/>
                    </a:lnTo>
                    <a:lnTo>
                      <a:pt x="822" y="62"/>
                    </a:lnTo>
                    <a:lnTo>
                      <a:pt x="822" y="62"/>
                    </a:lnTo>
                    <a:lnTo>
                      <a:pt x="813" y="62"/>
                    </a:lnTo>
                    <a:lnTo>
                      <a:pt x="813" y="62"/>
                    </a:lnTo>
                    <a:lnTo>
                      <a:pt x="813" y="62"/>
                    </a:lnTo>
                    <a:lnTo>
                      <a:pt x="813" y="62"/>
                    </a:lnTo>
                    <a:lnTo>
                      <a:pt x="813" y="62"/>
                    </a:lnTo>
                    <a:lnTo>
                      <a:pt x="804" y="62"/>
                    </a:lnTo>
                    <a:lnTo>
                      <a:pt x="804" y="62"/>
                    </a:lnTo>
                    <a:lnTo>
                      <a:pt x="804" y="62"/>
                    </a:lnTo>
                    <a:lnTo>
                      <a:pt x="804" y="62"/>
                    </a:lnTo>
                    <a:lnTo>
                      <a:pt x="813" y="62"/>
                    </a:lnTo>
                    <a:lnTo>
                      <a:pt x="813" y="62"/>
                    </a:lnTo>
                    <a:lnTo>
                      <a:pt x="813" y="62"/>
                    </a:lnTo>
                    <a:lnTo>
                      <a:pt x="813" y="62"/>
                    </a:lnTo>
                    <a:lnTo>
                      <a:pt x="813" y="62"/>
                    </a:lnTo>
                    <a:lnTo>
                      <a:pt x="813" y="62"/>
                    </a:lnTo>
                    <a:lnTo>
                      <a:pt x="813" y="62"/>
                    </a:lnTo>
                    <a:lnTo>
                      <a:pt x="813" y="62"/>
                    </a:lnTo>
                    <a:lnTo>
                      <a:pt x="813" y="71"/>
                    </a:lnTo>
                    <a:lnTo>
                      <a:pt x="813" y="71"/>
                    </a:lnTo>
                    <a:lnTo>
                      <a:pt x="813" y="71"/>
                    </a:lnTo>
                    <a:lnTo>
                      <a:pt x="813" y="71"/>
                    </a:lnTo>
                    <a:lnTo>
                      <a:pt x="813" y="71"/>
                    </a:lnTo>
                    <a:lnTo>
                      <a:pt x="822" y="80"/>
                    </a:lnTo>
                    <a:lnTo>
                      <a:pt x="822" y="80"/>
                    </a:lnTo>
                    <a:lnTo>
                      <a:pt x="822" y="80"/>
                    </a:lnTo>
                    <a:lnTo>
                      <a:pt x="822" y="80"/>
                    </a:lnTo>
                    <a:lnTo>
                      <a:pt x="822" y="80"/>
                    </a:lnTo>
                    <a:lnTo>
                      <a:pt x="822" y="80"/>
                    </a:lnTo>
                    <a:lnTo>
                      <a:pt x="822" y="80"/>
                    </a:lnTo>
                    <a:lnTo>
                      <a:pt x="822" y="80"/>
                    </a:lnTo>
                    <a:lnTo>
                      <a:pt x="822" y="80"/>
                    </a:lnTo>
                    <a:lnTo>
                      <a:pt x="822" y="80"/>
                    </a:lnTo>
                    <a:lnTo>
                      <a:pt x="822" y="80"/>
                    </a:lnTo>
                    <a:lnTo>
                      <a:pt x="822" y="89"/>
                    </a:lnTo>
                    <a:lnTo>
                      <a:pt x="822" y="89"/>
                    </a:lnTo>
                    <a:lnTo>
                      <a:pt x="822" y="89"/>
                    </a:lnTo>
                    <a:lnTo>
                      <a:pt x="822" y="89"/>
                    </a:lnTo>
                    <a:lnTo>
                      <a:pt x="822" y="89"/>
                    </a:lnTo>
                    <a:lnTo>
                      <a:pt x="822" y="89"/>
                    </a:lnTo>
                    <a:lnTo>
                      <a:pt x="822" y="89"/>
                    </a:lnTo>
                    <a:lnTo>
                      <a:pt x="822" y="89"/>
                    </a:lnTo>
                    <a:lnTo>
                      <a:pt x="813" y="89"/>
                    </a:lnTo>
                    <a:lnTo>
                      <a:pt x="813" y="89"/>
                    </a:lnTo>
                    <a:lnTo>
                      <a:pt x="813" y="89"/>
                    </a:lnTo>
                    <a:lnTo>
                      <a:pt x="813" y="89"/>
                    </a:lnTo>
                    <a:lnTo>
                      <a:pt x="813" y="89"/>
                    </a:lnTo>
                    <a:lnTo>
                      <a:pt x="813" y="89"/>
                    </a:lnTo>
                    <a:lnTo>
                      <a:pt x="804" y="89"/>
                    </a:lnTo>
                    <a:lnTo>
                      <a:pt x="804" y="89"/>
                    </a:lnTo>
                    <a:lnTo>
                      <a:pt x="804" y="89"/>
                    </a:lnTo>
                    <a:lnTo>
                      <a:pt x="804" y="89"/>
                    </a:lnTo>
                    <a:lnTo>
                      <a:pt x="795" y="89"/>
                    </a:lnTo>
                    <a:lnTo>
                      <a:pt x="795" y="89"/>
                    </a:lnTo>
                    <a:lnTo>
                      <a:pt x="795" y="89"/>
                    </a:lnTo>
                    <a:lnTo>
                      <a:pt x="795" y="89"/>
                    </a:lnTo>
                    <a:lnTo>
                      <a:pt x="786" y="89"/>
                    </a:lnTo>
                    <a:lnTo>
                      <a:pt x="786" y="89"/>
                    </a:lnTo>
                    <a:lnTo>
                      <a:pt x="786" y="89"/>
                    </a:lnTo>
                    <a:lnTo>
                      <a:pt x="786" y="89"/>
                    </a:lnTo>
                    <a:lnTo>
                      <a:pt x="786" y="89"/>
                    </a:lnTo>
                    <a:lnTo>
                      <a:pt x="778" y="89"/>
                    </a:lnTo>
                    <a:lnTo>
                      <a:pt x="778" y="89"/>
                    </a:lnTo>
                    <a:lnTo>
                      <a:pt x="778" y="89"/>
                    </a:lnTo>
                    <a:lnTo>
                      <a:pt x="778" y="89"/>
                    </a:lnTo>
                    <a:lnTo>
                      <a:pt x="778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0"/>
                    </a:lnTo>
                    <a:lnTo>
                      <a:pt x="769" y="80"/>
                    </a:lnTo>
                    <a:lnTo>
                      <a:pt x="769" y="80"/>
                    </a:lnTo>
                    <a:lnTo>
                      <a:pt x="769" y="80"/>
                    </a:lnTo>
                    <a:lnTo>
                      <a:pt x="769" y="80"/>
                    </a:lnTo>
                    <a:lnTo>
                      <a:pt x="760" y="80"/>
                    </a:lnTo>
                    <a:lnTo>
                      <a:pt x="760" y="80"/>
                    </a:lnTo>
                    <a:lnTo>
                      <a:pt x="760" y="80"/>
                    </a:lnTo>
                    <a:lnTo>
                      <a:pt x="760" y="71"/>
                    </a:lnTo>
                    <a:lnTo>
                      <a:pt x="760" y="71"/>
                    </a:lnTo>
                    <a:lnTo>
                      <a:pt x="760" y="71"/>
                    </a:lnTo>
                    <a:lnTo>
                      <a:pt x="760" y="71"/>
                    </a:lnTo>
                    <a:lnTo>
                      <a:pt x="760" y="71"/>
                    </a:lnTo>
                    <a:lnTo>
                      <a:pt x="760" y="71"/>
                    </a:lnTo>
                    <a:lnTo>
                      <a:pt x="760" y="71"/>
                    </a:lnTo>
                    <a:lnTo>
                      <a:pt x="760" y="71"/>
                    </a:lnTo>
                    <a:lnTo>
                      <a:pt x="760" y="71"/>
                    </a:lnTo>
                    <a:lnTo>
                      <a:pt x="751" y="71"/>
                    </a:lnTo>
                    <a:lnTo>
                      <a:pt x="751" y="71"/>
                    </a:lnTo>
                    <a:lnTo>
                      <a:pt x="751" y="71"/>
                    </a:lnTo>
                    <a:lnTo>
                      <a:pt x="751" y="71"/>
                    </a:lnTo>
                    <a:lnTo>
                      <a:pt x="751" y="71"/>
                    </a:lnTo>
                    <a:lnTo>
                      <a:pt x="751" y="71"/>
                    </a:lnTo>
                    <a:lnTo>
                      <a:pt x="742" y="71"/>
                    </a:lnTo>
                    <a:lnTo>
                      <a:pt x="742" y="71"/>
                    </a:lnTo>
                    <a:lnTo>
                      <a:pt x="742" y="71"/>
                    </a:lnTo>
                    <a:lnTo>
                      <a:pt x="742" y="71"/>
                    </a:lnTo>
                    <a:lnTo>
                      <a:pt x="733" y="71"/>
                    </a:lnTo>
                    <a:lnTo>
                      <a:pt x="733" y="71"/>
                    </a:lnTo>
                    <a:lnTo>
                      <a:pt x="733" y="71"/>
                    </a:lnTo>
                    <a:lnTo>
                      <a:pt x="733" y="71"/>
                    </a:lnTo>
                    <a:lnTo>
                      <a:pt x="724" y="71"/>
                    </a:lnTo>
                    <a:lnTo>
                      <a:pt x="724" y="71"/>
                    </a:lnTo>
                    <a:lnTo>
                      <a:pt x="724" y="71"/>
                    </a:lnTo>
                    <a:lnTo>
                      <a:pt x="715" y="71"/>
                    </a:lnTo>
                    <a:lnTo>
                      <a:pt x="715" y="71"/>
                    </a:lnTo>
                    <a:lnTo>
                      <a:pt x="715" y="71"/>
                    </a:lnTo>
                    <a:lnTo>
                      <a:pt x="715" y="71"/>
                    </a:lnTo>
                    <a:lnTo>
                      <a:pt x="706" y="71"/>
                    </a:lnTo>
                    <a:lnTo>
                      <a:pt x="706" y="71"/>
                    </a:lnTo>
                    <a:lnTo>
                      <a:pt x="706" y="71"/>
                    </a:lnTo>
                    <a:lnTo>
                      <a:pt x="706" y="71"/>
                    </a:lnTo>
                    <a:lnTo>
                      <a:pt x="697" y="71"/>
                    </a:lnTo>
                    <a:lnTo>
                      <a:pt x="697" y="71"/>
                    </a:lnTo>
                    <a:lnTo>
                      <a:pt x="697" y="71"/>
                    </a:lnTo>
                    <a:lnTo>
                      <a:pt x="697" y="71"/>
                    </a:lnTo>
                    <a:lnTo>
                      <a:pt x="688" y="71"/>
                    </a:lnTo>
                    <a:lnTo>
                      <a:pt x="688" y="71"/>
                    </a:lnTo>
                    <a:lnTo>
                      <a:pt x="688" y="71"/>
                    </a:lnTo>
                    <a:lnTo>
                      <a:pt x="688" y="71"/>
                    </a:lnTo>
                    <a:lnTo>
                      <a:pt x="679" y="71"/>
                    </a:lnTo>
                    <a:lnTo>
                      <a:pt x="679" y="71"/>
                    </a:lnTo>
                    <a:lnTo>
                      <a:pt x="679" y="71"/>
                    </a:lnTo>
                    <a:lnTo>
                      <a:pt x="670" y="71"/>
                    </a:lnTo>
                    <a:lnTo>
                      <a:pt x="670" y="71"/>
                    </a:lnTo>
                    <a:lnTo>
                      <a:pt x="670" y="71"/>
                    </a:lnTo>
                    <a:lnTo>
                      <a:pt x="661" y="71"/>
                    </a:lnTo>
                    <a:lnTo>
                      <a:pt x="661" y="71"/>
                    </a:lnTo>
                    <a:lnTo>
                      <a:pt x="661" y="71"/>
                    </a:lnTo>
                    <a:lnTo>
                      <a:pt x="661" y="71"/>
                    </a:lnTo>
                    <a:lnTo>
                      <a:pt x="652" y="71"/>
                    </a:lnTo>
                    <a:lnTo>
                      <a:pt x="652" y="71"/>
                    </a:lnTo>
                    <a:lnTo>
                      <a:pt x="652" y="71"/>
                    </a:lnTo>
                    <a:lnTo>
                      <a:pt x="652" y="71"/>
                    </a:lnTo>
                    <a:lnTo>
                      <a:pt x="652" y="71"/>
                    </a:lnTo>
                    <a:lnTo>
                      <a:pt x="644" y="71"/>
                    </a:lnTo>
                    <a:lnTo>
                      <a:pt x="644" y="71"/>
                    </a:lnTo>
                    <a:lnTo>
                      <a:pt x="644" y="71"/>
                    </a:lnTo>
                    <a:lnTo>
                      <a:pt x="644" y="71"/>
                    </a:lnTo>
                    <a:lnTo>
                      <a:pt x="644" y="71"/>
                    </a:lnTo>
                    <a:lnTo>
                      <a:pt x="644" y="71"/>
                    </a:lnTo>
                    <a:lnTo>
                      <a:pt x="635" y="71"/>
                    </a:lnTo>
                    <a:lnTo>
                      <a:pt x="635" y="71"/>
                    </a:lnTo>
                    <a:lnTo>
                      <a:pt x="635" y="71"/>
                    </a:lnTo>
                    <a:lnTo>
                      <a:pt x="635" y="71"/>
                    </a:lnTo>
                    <a:lnTo>
                      <a:pt x="635" y="71"/>
                    </a:lnTo>
                    <a:lnTo>
                      <a:pt x="635" y="71"/>
                    </a:lnTo>
                    <a:lnTo>
                      <a:pt x="626" y="71"/>
                    </a:lnTo>
                    <a:lnTo>
                      <a:pt x="626" y="71"/>
                    </a:lnTo>
                    <a:lnTo>
                      <a:pt x="626" y="71"/>
                    </a:lnTo>
                    <a:lnTo>
                      <a:pt x="626" y="71"/>
                    </a:lnTo>
                    <a:lnTo>
                      <a:pt x="626" y="71"/>
                    </a:lnTo>
                    <a:lnTo>
                      <a:pt x="626" y="71"/>
                    </a:lnTo>
                    <a:lnTo>
                      <a:pt x="626" y="71"/>
                    </a:lnTo>
                    <a:lnTo>
                      <a:pt x="626" y="71"/>
                    </a:lnTo>
                    <a:lnTo>
                      <a:pt x="626" y="62"/>
                    </a:lnTo>
                    <a:lnTo>
                      <a:pt x="626" y="62"/>
                    </a:lnTo>
                    <a:lnTo>
                      <a:pt x="626" y="62"/>
                    </a:lnTo>
                    <a:lnTo>
                      <a:pt x="626" y="62"/>
                    </a:lnTo>
                    <a:lnTo>
                      <a:pt x="626" y="62"/>
                    </a:lnTo>
                    <a:lnTo>
                      <a:pt x="626" y="62"/>
                    </a:lnTo>
                    <a:lnTo>
                      <a:pt x="626" y="62"/>
                    </a:lnTo>
                    <a:lnTo>
                      <a:pt x="626" y="62"/>
                    </a:lnTo>
                    <a:lnTo>
                      <a:pt x="626" y="53"/>
                    </a:lnTo>
                    <a:lnTo>
                      <a:pt x="626" y="53"/>
                    </a:lnTo>
                    <a:lnTo>
                      <a:pt x="626" y="53"/>
                    </a:lnTo>
                    <a:lnTo>
                      <a:pt x="626" y="53"/>
                    </a:lnTo>
                    <a:lnTo>
                      <a:pt x="626" y="53"/>
                    </a:lnTo>
                    <a:lnTo>
                      <a:pt x="626" y="53"/>
                    </a:lnTo>
                    <a:lnTo>
                      <a:pt x="626" y="53"/>
                    </a:lnTo>
                    <a:lnTo>
                      <a:pt x="626" y="53"/>
                    </a:lnTo>
                    <a:lnTo>
                      <a:pt x="626" y="53"/>
                    </a:lnTo>
                    <a:lnTo>
                      <a:pt x="626" y="53"/>
                    </a:lnTo>
                    <a:lnTo>
                      <a:pt x="626" y="53"/>
                    </a:lnTo>
                    <a:lnTo>
                      <a:pt x="626" y="44"/>
                    </a:lnTo>
                    <a:lnTo>
                      <a:pt x="626" y="44"/>
                    </a:lnTo>
                    <a:lnTo>
                      <a:pt x="626" y="44"/>
                    </a:lnTo>
                    <a:lnTo>
                      <a:pt x="617" y="44"/>
                    </a:lnTo>
                    <a:lnTo>
                      <a:pt x="617" y="44"/>
                    </a:lnTo>
                    <a:lnTo>
                      <a:pt x="617" y="44"/>
                    </a:lnTo>
                    <a:lnTo>
                      <a:pt x="617" y="44"/>
                    </a:lnTo>
                    <a:lnTo>
                      <a:pt x="617" y="44"/>
                    </a:lnTo>
                    <a:lnTo>
                      <a:pt x="617" y="44"/>
                    </a:lnTo>
                    <a:lnTo>
                      <a:pt x="617" y="44"/>
                    </a:lnTo>
                    <a:lnTo>
                      <a:pt x="608" y="44"/>
                    </a:lnTo>
                    <a:lnTo>
                      <a:pt x="608" y="44"/>
                    </a:lnTo>
                    <a:lnTo>
                      <a:pt x="608" y="36"/>
                    </a:lnTo>
                    <a:lnTo>
                      <a:pt x="608" y="36"/>
                    </a:lnTo>
                    <a:lnTo>
                      <a:pt x="608" y="36"/>
                    </a:lnTo>
                    <a:lnTo>
                      <a:pt x="599" y="36"/>
                    </a:lnTo>
                    <a:lnTo>
                      <a:pt x="599" y="36"/>
                    </a:lnTo>
                    <a:lnTo>
                      <a:pt x="599" y="36"/>
                    </a:lnTo>
                    <a:lnTo>
                      <a:pt x="599" y="36"/>
                    </a:lnTo>
                    <a:lnTo>
                      <a:pt x="599" y="36"/>
                    </a:lnTo>
                    <a:lnTo>
                      <a:pt x="590" y="36"/>
                    </a:lnTo>
                    <a:lnTo>
                      <a:pt x="590" y="36"/>
                    </a:lnTo>
                    <a:lnTo>
                      <a:pt x="590" y="36"/>
                    </a:lnTo>
                    <a:lnTo>
                      <a:pt x="590" y="36"/>
                    </a:lnTo>
                    <a:lnTo>
                      <a:pt x="590" y="44"/>
                    </a:lnTo>
                    <a:lnTo>
                      <a:pt x="581" y="44"/>
                    </a:lnTo>
                    <a:lnTo>
                      <a:pt x="581" y="44"/>
                    </a:lnTo>
                    <a:lnTo>
                      <a:pt x="581" y="44"/>
                    </a:lnTo>
                    <a:lnTo>
                      <a:pt x="581" y="44"/>
                    </a:lnTo>
                    <a:lnTo>
                      <a:pt x="581" y="44"/>
                    </a:lnTo>
                    <a:lnTo>
                      <a:pt x="581" y="44"/>
                    </a:lnTo>
                    <a:lnTo>
                      <a:pt x="581" y="44"/>
                    </a:lnTo>
                    <a:lnTo>
                      <a:pt x="572" y="44"/>
                    </a:lnTo>
                    <a:lnTo>
                      <a:pt x="572" y="44"/>
                    </a:lnTo>
                    <a:lnTo>
                      <a:pt x="572" y="53"/>
                    </a:lnTo>
                    <a:lnTo>
                      <a:pt x="572" y="53"/>
                    </a:lnTo>
                    <a:lnTo>
                      <a:pt x="572" y="53"/>
                    </a:lnTo>
                    <a:lnTo>
                      <a:pt x="572" y="53"/>
                    </a:lnTo>
                    <a:lnTo>
                      <a:pt x="572" y="53"/>
                    </a:lnTo>
                    <a:lnTo>
                      <a:pt x="572" y="62"/>
                    </a:lnTo>
                    <a:lnTo>
                      <a:pt x="572" y="62"/>
                    </a:lnTo>
                    <a:lnTo>
                      <a:pt x="572" y="62"/>
                    </a:lnTo>
                    <a:lnTo>
                      <a:pt x="572" y="62"/>
                    </a:lnTo>
                    <a:lnTo>
                      <a:pt x="572" y="62"/>
                    </a:lnTo>
                    <a:lnTo>
                      <a:pt x="572" y="62"/>
                    </a:lnTo>
                    <a:lnTo>
                      <a:pt x="572" y="71"/>
                    </a:lnTo>
                    <a:lnTo>
                      <a:pt x="572" y="71"/>
                    </a:lnTo>
                    <a:lnTo>
                      <a:pt x="572" y="71"/>
                    </a:lnTo>
                    <a:lnTo>
                      <a:pt x="572" y="71"/>
                    </a:lnTo>
                    <a:lnTo>
                      <a:pt x="572" y="71"/>
                    </a:lnTo>
                    <a:lnTo>
                      <a:pt x="572" y="71"/>
                    </a:lnTo>
                    <a:lnTo>
                      <a:pt x="572" y="71"/>
                    </a:lnTo>
                    <a:lnTo>
                      <a:pt x="572" y="71"/>
                    </a:lnTo>
                    <a:lnTo>
                      <a:pt x="572" y="71"/>
                    </a:lnTo>
                    <a:lnTo>
                      <a:pt x="563" y="71"/>
                    </a:lnTo>
                    <a:lnTo>
                      <a:pt x="563" y="71"/>
                    </a:lnTo>
                    <a:lnTo>
                      <a:pt x="563" y="71"/>
                    </a:lnTo>
                    <a:lnTo>
                      <a:pt x="563" y="71"/>
                    </a:lnTo>
                    <a:lnTo>
                      <a:pt x="563" y="71"/>
                    </a:lnTo>
                    <a:lnTo>
                      <a:pt x="563" y="71"/>
                    </a:lnTo>
                    <a:lnTo>
                      <a:pt x="554" y="71"/>
                    </a:lnTo>
                    <a:lnTo>
                      <a:pt x="554" y="71"/>
                    </a:lnTo>
                    <a:lnTo>
                      <a:pt x="554" y="71"/>
                    </a:lnTo>
                    <a:lnTo>
                      <a:pt x="554" y="80"/>
                    </a:lnTo>
                    <a:lnTo>
                      <a:pt x="554" y="80"/>
                    </a:lnTo>
                    <a:lnTo>
                      <a:pt x="545" y="80"/>
                    </a:lnTo>
                    <a:lnTo>
                      <a:pt x="545" y="80"/>
                    </a:lnTo>
                    <a:lnTo>
                      <a:pt x="545" y="80"/>
                    </a:lnTo>
                    <a:lnTo>
                      <a:pt x="545" y="80"/>
                    </a:lnTo>
                    <a:lnTo>
                      <a:pt x="545" y="89"/>
                    </a:lnTo>
                    <a:lnTo>
                      <a:pt x="545" y="89"/>
                    </a:lnTo>
                    <a:lnTo>
                      <a:pt x="545" y="89"/>
                    </a:lnTo>
                    <a:lnTo>
                      <a:pt x="536" y="89"/>
                    </a:lnTo>
                    <a:lnTo>
                      <a:pt x="536" y="89"/>
                    </a:lnTo>
                    <a:lnTo>
                      <a:pt x="536" y="98"/>
                    </a:lnTo>
                    <a:lnTo>
                      <a:pt x="536" y="98"/>
                    </a:lnTo>
                    <a:lnTo>
                      <a:pt x="536" y="98"/>
                    </a:lnTo>
                    <a:lnTo>
                      <a:pt x="536" y="107"/>
                    </a:lnTo>
                    <a:lnTo>
                      <a:pt x="536" y="107"/>
                    </a:lnTo>
                    <a:lnTo>
                      <a:pt x="536" y="107"/>
                    </a:lnTo>
                    <a:lnTo>
                      <a:pt x="536" y="116"/>
                    </a:lnTo>
                    <a:lnTo>
                      <a:pt x="536" y="116"/>
                    </a:lnTo>
                    <a:lnTo>
                      <a:pt x="536" y="116"/>
                    </a:lnTo>
                    <a:lnTo>
                      <a:pt x="536" y="125"/>
                    </a:lnTo>
                    <a:lnTo>
                      <a:pt x="536" y="125"/>
                    </a:lnTo>
                    <a:lnTo>
                      <a:pt x="536" y="125"/>
                    </a:lnTo>
                    <a:lnTo>
                      <a:pt x="536" y="134"/>
                    </a:lnTo>
                    <a:lnTo>
                      <a:pt x="536" y="134"/>
                    </a:lnTo>
                    <a:lnTo>
                      <a:pt x="536" y="134"/>
                    </a:lnTo>
                    <a:lnTo>
                      <a:pt x="536" y="134"/>
                    </a:lnTo>
                    <a:lnTo>
                      <a:pt x="536" y="134"/>
                    </a:lnTo>
                    <a:lnTo>
                      <a:pt x="527" y="134"/>
                    </a:lnTo>
                    <a:lnTo>
                      <a:pt x="527" y="134"/>
                    </a:lnTo>
                    <a:lnTo>
                      <a:pt x="527" y="134"/>
                    </a:lnTo>
                    <a:lnTo>
                      <a:pt x="527" y="134"/>
                    </a:lnTo>
                    <a:lnTo>
                      <a:pt x="518" y="134"/>
                    </a:lnTo>
                    <a:lnTo>
                      <a:pt x="518" y="134"/>
                    </a:lnTo>
                    <a:lnTo>
                      <a:pt x="518" y="134"/>
                    </a:lnTo>
                    <a:lnTo>
                      <a:pt x="518" y="134"/>
                    </a:lnTo>
                    <a:lnTo>
                      <a:pt x="518" y="134"/>
                    </a:lnTo>
                    <a:lnTo>
                      <a:pt x="518" y="134"/>
                    </a:lnTo>
                    <a:lnTo>
                      <a:pt x="518" y="134"/>
                    </a:lnTo>
                    <a:lnTo>
                      <a:pt x="518" y="143"/>
                    </a:lnTo>
                    <a:lnTo>
                      <a:pt x="518" y="143"/>
                    </a:lnTo>
                    <a:lnTo>
                      <a:pt x="518" y="143"/>
                    </a:lnTo>
                    <a:lnTo>
                      <a:pt x="510" y="143"/>
                    </a:lnTo>
                    <a:lnTo>
                      <a:pt x="510" y="143"/>
                    </a:lnTo>
                    <a:lnTo>
                      <a:pt x="510" y="143"/>
                    </a:lnTo>
                    <a:lnTo>
                      <a:pt x="510" y="152"/>
                    </a:lnTo>
                    <a:lnTo>
                      <a:pt x="510" y="152"/>
                    </a:lnTo>
                    <a:lnTo>
                      <a:pt x="510" y="152"/>
                    </a:lnTo>
                    <a:lnTo>
                      <a:pt x="510" y="152"/>
                    </a:lnTo>
                    <a:lnTo>
                      <a:pt x="510" y="152"/>
                    </a:lnTo>
                    <a:lnTo>
                      <a:pt x="501" y="152"/>
                    </a:lnTo>
                    <a:lnTo>
                      <a:pt x="501" y="161"/>
                    </a:lnTo>
                    <a:lnTo>
                      <a:pt x="501" y="161"/>
                    </a:lnTo>
                    <a:lnTo>
                      <a:pt x="501" y="161"/>
                    </a:lnTo>
                    <a:lnTo>
                      <a:pt x="492" y="161"/>
                    </a:lnTo>
                    <a:lnTo>
                      <a:pt x="492" y="161"/>
                    </a:lnTo>
                    <a:lnTo>
                      <a:pt x="492" y="161"/>
                    </a:lnTo>
                    <a:lnTo>
                      <a:pt x="483" y="161"/>
                    </a:lnTo>
                    <a:lnTo>
                      <a:pt x="483" y="170"/>
                    </a:lnTo>
                    <a:lnTo>
                      <a:pt x="474" y="170"/>
                    </a:lnTo>
                    <a:lnTo>
                      <a:pt x="474" y="170"/>
                    </a:lnTo>
                    <a:lnTo>
                      <a:pt x="465" y="178"/>
                    </a:lnTo>
                    <a:lnTo>
                      <a:pt x="465" y="178"/>
                    </a:lnTo>
                    <a:lnTo>
                      <a:pt x="465" y="178"/>
                    </a:lnTo>
                    <a:lnTo>
                      <a:pt x="456" y="178"/>
                    </a:lnTo>
                    <a:lnTo>
                      <a:pt x="456" y="187"/>
                    </a:lnTo>
                    <a:lnTo>
                      <a:pt x="447" y="187"/>
                    </a:lnTo>
                    <a:lnTo>
                      <a:pt x="447" y="187"/>
                    </a:lnTo>
                    <a:lnTo>
                      <a:pt x="447" y="187"/>
                    </a:lnTo>
                    <a:lnTo>
                      <a:pt x="438" y="187"/>
                    </a:lnTo>
                    <a:lnTo>
                      <a:pt x="438" y="187"/>
                    </a:lnTo>
                    <a:lnTo>
                      <a:pt x="438" y="196"/>
                    </a:lnTo>
                    <a:lnTo>
                      <a:pt x="429" y="196"/>
                    </a:lnTo>
                    <a:lnTo>
                      <a:pt x="429" y="196"/>
                    </a:lnTo>
                    <a:lnTo>
                      <a:pt x="429" y="196"/>
                    </a:lnTo>
                    <a:lnTo>
                      <a:pt x="429" y="196"/>
                    </a:lnTo>
                    <a:lnTo>
                      <a:pt x="420" y="196"/>
                    </a:lnTo>
                    <a:lnTo>
                      <a:pt x="420" y="196"/>
                    </a:lnTo>
                    <a:lnTo>
                      <a:pt x="420" y="196"/>
                    </a:lnTo>
                    <a:lnTo>
                      <a:pt x="411" y="196"/>
                    </a:lnTo>
                    <a:lnTo>
                      <a:pt x="411" y="196"/>
                    </a:lnTo>
                    <a:lnTo>
                      <a:pt x="411" y="196"/>
                    </a:lnTo>
                    <a:lnTo>
                      <a:pt x="411" y="196"/>
                    </a:lnTo>
                    <a:lnTo>
                      <a:pt x="402" y="196"/>
                    </a:lnTo>
                    <a:lnTo>
                      <a:pt x="402" y="196"/>
                    </a:lnTo>
                    <a:lnTo>
                      <a:pt x="402" y="196"/>
                    </a:lnTo>
                    <a:lnTo>
                      <a:pt x="393" y="196"/>
                    </a:lnTo>
                    <a:lnTo>
                      <a:pt x="393" y="196"/>
                    </a:lnTo>
                    <a:lnTo>
                      <a:pt x="393" y="196"/>
                    </a:lnTo>
                    <a:lnTo>
                      <a:pt x="384" y="196"/>
                    </a:lnTo>
                    <a:lnTo>
                      <a:pt x="384" y="196"/>
                    </a:lnTo>
                    <a:lnTo>
                      <a:pt x="384" y="196"/>
                    </a:lnTo>
                    <a:lnTo>
                      <a:pt x="376" y="196"/>
                    </a:lnTo>
                    <a:lnTo>
                      <a:pt x="376" y="196"/>
                    </a:lnTo>
                    <a:lnTo>
                      <a:pt x="367" y="196"/>
                    </a:lnTo>
                    <a:lnTo>
                      <a:pt x="367" y="196"/>
                    </a:lnTo>
                    <a:lnTo>
                      <a:pt x="367" y="196"/>
                    </a:lnTo>
                    <a:lnTo>
                      <a:pt x="358" y="196"/>
                    </a:lnTo>
                    <a:lnTo>
                      <a:pt x="358" y="196"/>
                    </a:lnTo>
                    <a:lnTo>
                      <a:pt x="358" y="196"/>
                    </a:lnTo>
                    <a:lnTo>
                      <a:pt x="349" y="196"/>
                    </a:lnTo>
                    <a:lnTo>
                      <a:pt x="349" y="196"/>
                    </a:lnTo>
                    <a:lnTo>
                      <a:pt x="349" y="196"/>
                    </a:lnTo>
                    <a:lnTo>
                      <a:pt x="340" y="196"/>
                    </a:lnTo>
                    <a:lnTo>
                      <a:pt x="340" y="196"/>
                    </a:lnTo>
                    <a:lnTo>
                      <a:pt x="340" y="196"/>
                    </a:lnTo>
                    <a:lnTo>
                      <a:pt x="331" y="196"/>
                    </a:lnTo>
                    <a:lnTo>
                      <a:pt x="331" y="196"/>
                    </a:lnTo>
                    <a:lnTo>
                      <a:pt x="331" y="187"/>
                    </a:lnTo>
                    <a:lnTo>
                      <a:pt x="331" y="187"/>
                    </a:lnTo>
                    <a:lnTo>
                      <a:pt x="322" y="187"/>
                    </a:lnTo>
                    <a:lnTo>
                      <a:pt x="322" y="187"/>
                    </a:lnTo>
                    <a:lnTo>
                      <a:pt x="322" y="187"/>
                    </a:lnTo>
                    <a:lnTo>
                      <a:pt x="313" y="187"/>
                    </a:lnTo>
                    <a:lnTo>
                      <a:pt x="313" y="187"/>
                    </a:lnTo>
                    <a:lnTo>
                      <a:pt x="313" y="187"/>
                    </a:lnTo>
                    <a:lnTo>
                      <a:pt x="304" y="187"/>
                    </a:lnTo>
                    <a:lnTo>
                      <a:pt x="304" y="187"/>
                    </a:lnTo>
                    <a:lnTo>
                      <a:pt x="304" y="187"/>
                    </a:lnTo>
                    <a:lnTo>
                      <a:pt x="295" y="187"/>
                    </a:lnTo>
                    <a:lnTo>
                      <a:pt x="295" y="187"/>
                    </a:lnTo>
                    <a:lnTo>
                      <a:pt x="295" y="187"/>
                    </a:lnTo>
                    <a:lnTo>
                      <a:pt x="295" y="178"/>
                    </a:lnTo>
                    <a:lnTo>
                      <a:pt x="286" y="178"/>
                    </a:lnTo>
                    <a:lnTo>
                      <a:pt x="286" y="178"/>
                    </a:lnTo>
                    <a:lnTo>
                      <a:pt x="286" y="178"/>
                    </a:lnTo>
                    <a:lnTo>
                      <a:pt x="286" y="178"/>
                    </a:lnTo>
                    <a:lnTo>
                      <a:pt x="277" y="178"/>
                    </a:lnTo>
                    <a:lnTo>
                      <a:pt x="277" y="178"/>
                    </a:lnTo>
                    <a:lnTo>
                      <a:pt x="277" y="178"/>
                    </a:lnTo>
                    <a:lnTo>
                      <a:pt x="277" y="178"/>
                    </a:lnTo>
                    <a:lnTo>
                      <a:pt x="268" y="178"/>
                    </a:lnTo>
                    <a:lnTo>
                      <a:pt x="268" y="178"/>
                    </a:lnTo>
                    <a:lnTo>
                      <a:pt x="268" y="178"/>
                    </a:lnTo>
                    <a:lnTo>
                      <a:pt x="268" y="178"/>
                    </a:lnTo>
                    <a:lnTo>
                      <a:pt x="268" y="178"/>
                    </a:lnTo>
                    <a:lnTo>
                      <a:pt x="259" y="178"/>
                    </a:lnTo>
                    <a:lnTo>
                      <a:pt x="259" y="178"/>
                    </a:lnTo>
                    <a:lnTo>
                      <a:pt x="259" y="178"/>
                    </a:lnTo>
                    <a:lnTo>
                      <a:pt x="259" y="178"/>
                    </a:lnTo>
                    <a:lnTo>
                      <a:pt x="259" y="178"/>
                    </a:lnTo>
                    <a:lnTo>
                      <a:pt x="251" y="178"/>
                    </a:lnTo>
                    <a:lnTo>
                      <a:pt x="251" y="178"/>
                    </a:lnTo>
                    <a:lnTo>
                      <a:pt x="251" y="178"/>
                    </a:lnTo>
                    <a:lnTo>
                      <a:pt x="251" y="178"/>
                    </a:lnTo>
                    <a:lnTo>
                      <a:pt x="251" y="178"/>
                    </a:lnTo>
                    <a:lnTo>
                      <a:pt x="251" y="170"/>
                    </a:lnTo>
                    <a:lnTo>
                      <a:pt x="251" y="170"/>
                    </a:lnTo>
                    <a:lnTo>
                      <a:pt x="251" y="170"/>
                    </a:lnTo>
                    <a:lnTo>
                      <a:pt x="242" y="170"/>
                    </a:lnTo>
                    <a:lnTo>
                      <a:pt x="242" y="170"/>
                    </a:lnTo>
                    <a:lnTo>
                      <a:pt x="242" y="170"/>
                    </a:lnTo>
                    <a:lnTo>
                      <a:pt x="242" y="161"/>
                    </a:lnTo>
                    <a:lnTo>
                      <a:pt x="242" y="161"/>
                    </a:lnTo>
                    <a:lnTo>
                      <a:pt x="242" y="161"/>
                    </a:lnTo>
                    <a:lnTo>
                      <a:pt x="242" y="161"/>
                    </a:lnTo>
                    <a:lnTo>
                      <a:pt x="242" y="161"/>
                    </a:lnTo>
                    <a:lnTo>
                      <a:pt x="242" y="161"/>
                    </a:lnTo>
                    <a:lnTo>
                      <a:pt x="242" y="161"/>
                    </a:lnTo>
                    <a:lnTo>
                      <a:pt x="242" y="152"/>
                    </a:lnTo>
                    <a:lnTo>
                      <a:pt x="242" y="152"/>
                    </a:lnTo>
                    <a:lnTo>
                      <a:pt x="242" y="152"/>
                    </a:lnTo>
                    <a:lnTo>
                      <a:pt x="242" y="152"/>
                    </a:lnTo>
                    <a:lnTo>
                      <a:pt x="242" y="152"/>
                    </a:lnTo>
                    <a:lnTo>
                      <a:pt x="242" y="152"/>
                    </a:lnTo>
                    <a:lnTo>
                      <a:pt x="242" y="143"/>
                    </a:lnTo>
                    <a:lnTo>
                      <a:pt x="242" y="143"/>
                    </a:lnTo>
                    <a:lnTo>
                      <a:pt x="251" y="143"/>
                    </a:lnTo>
                    <a:lnTo>
                      <a:pt x="251" y="143"/>
                    </a:lnTo>
                    <a:lnTo>
                      <a:pt x="251" y="143"/>
                    </a:lnTo>
                    <a:lnTo>
                      <a:pt x="251" y="143"/>
                    </a:lnTo>
                    <a:lnTo>
                      <a:pt x="251" y="134"/>
                    </a:lnTo>
                    <a:lnTo>
                      <a:pt x="251" y="134"/>
                    </a:lnTo>
                    <a:lnTo>
                      <a:pt x="251" y="134"/>
                    </a:lnTo>
                    <a:lnTo>
                      <a:pt x="251" y="134"/>
                    </a:lnTo>
                    <a:lnTo>
                      <a:pt x="251" y="134"/>
                    </a:lnTo>
                    <a:lnTo>
                      <a:pt x="251" y="134"/>
                    </a:lnTo>
                    <a:lnTo>
                      <a:pt x="251" y="134"/>
                    </a:lnTo>
                    <a:lnTo>
                      <a:pt x="251" y="134"/>
                    </a:lnTo>
                    <a:lnTo>
                      <a:pt x="251" y="134"/>
                    </a:lnTo>
                    <a:lnTo>
                      <a:pt x="251" y="134"/>
                    </a:lnTo>
                    <a:lnTo>
                      <a:pt x="242" y="134"/>
                    </a:lnTo>
                    <a:lnTo>
                      <a:pt x="242" y="134"/>
                    </a:lnTo>
                    <a:lnTo>
                      <a:pt x="242" y="134"/>
                    </a:lnTo>
                    <a:lnTo>
                      <a:pt x="242" y="134"/>
                    </a:lnTo>
                    <a:lnTo>
                      <a:pt x="242" y="134"/>
                    </a:lnTo>
                    <a:lnTo>
                      <a:pt x="242" y="134"/>
                    </a:lnTo>
                    <a:lnTo>
                      <a:pt x="242" y="134"/>
                    </a:lnTo>
                    <a:lnTo>
                      <a:pt x="233" y="134"/>
                    </a:lnTo>
                    <a:lnTo>
                      <a:pt x="233" y="134"/>
                    </a:lnTo>
                    <a:lnTo>
                      <a:pt x="233" y="125"/>
                    </a:lnTo>
                    <a:lnTo>
                      <a:pt x="233" y="125"/>
                    </a:lnTo>
                    <a:lnTo>
                      <a:pt x="224" y="125"/>
                    </a:lnTo>
                    <a:lnTo>
                      <a:pt x="224" y="125"/>
                    </a:lnTo>
                    <a:lnTo>
                      <a:pt x="224" y="125"/>
                    </a:lnTo>
                    <a:lnTo>
                      <a:pt x="224" y="125"/>
                    </a:lnTo>
                    <a:lnTo>
                      <a:pt x="224" y="125"/>
                    </a:lnTo>
                    <a:lnTo>
                      <a:pt x="224" y="116"/>
                    </a:lnTo>
                    <a:lnTo>
                      <a:pt x="215" y="116"/>
                    </a:lnTo>
                    <a:lnTo>
                      <a:pt x="215" y="116"/>
                    </a:lnTo>
                    <a:lnTo>
                      <a:pt x="215" y="116"/>
                    </a:lnTo>
                    <a:lnTo>
                      <a:pt x="215" y="107"/>
                    </a:lnTo>
                    <a:lnTo>
                      <a:pt x="215" y="107"/>
                    </a:lnTo>
                    <a:lnTo>
                      <a:pt x="206" y="107"/>
                    </a:lnTo>
                    <a:lnTo>
                      <a:pt x="206" y="107"/>
                    </a:lnTo>
                    <a:lnTo>
                      <a:pt x="206" y="107"/>
                    </a:lnTo>
                    <a:lnTo>
                      <a:pt x="206" y="107"/>
                    </a:lnTo>
                    <a:lnTo>
                      <a:pt x="206" y="107"/>
                    </a:lnTo>
                    <a:lnTo>
                      <a:pt x="206" y="98"/>
                    </a:lnTo>
                    <a:lnTo>
                      <a:pt x="206" y="98"/>
                    </a:lnTo>
                    <a:lnTo>
                      <a:pt x="188" y="98"/>
                    </a:lnTo>
                    <a:lnTo>
                      <a:pt x="161" y="98"/>
                    </a:lnTo>
                    <a:lnTo>
                      <a:pt x="134" y="98"/>
                    </a:lnTo>
                    <a:lnTo>
                      <a:pt x="108" y="98"/>
                    </a:lnTo>
                    <a:lnTo>
                      <a:pt x="81" y="98"/>
                    </a:lnTo>
                    <a:lnTo>
                      <a:pt x="54" y="98"/>
                    </a:lnTo>
                    <a:lnTo>
                      <a:pt x="45" y="107"/>
                    </a:lnTo>
                    <a:lnTo>
                      <a:pt x="45" y="116"/>
                    </a:lnTo>
                    <a:lnTo>
                      <a:pt x="36" y="125"/>
                    </a:lnTo>
                    <a:lnTo>
                      <a:pt x="45" y="125"/>
                    </a:lnTo>
                    <a:lnTo>
                      <a:pt x="45" y="152"/>
                    </a:lnTo>
                    <a:lnTo>
                      <a:pt x="45" y="178"/>
                    </a:lnTo>
                    <a:lnTo>
                      <a:pt x="36" y="277"/>
                    </a:lnTo>
                    <a:lnTo>
                      <a:pt x="45" y="295"/>
                    </a:lnTo>
                    <a:lnTo>
                      <a:pt x="63" y="303"/>
                    </a:lnTo>
                    <a:lnTo>
                      <a:pt x="81" y="321"/>
                    </a:lnTo>
                    <a:lnTo>
                      <a:pt x="90" y="339"/>
                    </a:lnTo>
                    <a:lnTo>
                      <a:pt x="81" y="357"/>
                    </a:lnTo>
                    <a:lnTo>
                      <a:pt x="81" y="375"/>
                    </a:lnTo>
                    <a:lnTo>
                      <a:pt x="72" y="384"/>
                    </a:lnTo>
                    <a:lnTo>
                      <a:pt x="45" y="384"/>
                    </a:lnTo>
                    <a:lnTo>
                      <a:pt x="27" y="384"/>
                    </a:lnTo>
                    <a:lnTo>
                      <a:pt x="27" y="384"/>
                    </a:lnTo>
                    <a:lnTo>
                      <a:pt x="18" y="393"/>
                    </a:lnTo>
                    <a:lnTo>
                      <a:pt x="0" y="393"/>
                    </a:lnTo>
                    <a:lnTo>
                      <a:pt x="0" y="411"/>
                    </a:lnTo>
                    <a:lnTo>
                      <a:pt x="0" y="446"/>
                    </a:lnTo>
                    <a:lnTo>
                      <a:pt x="0" y="455"/>
                    </a:lnTo>
                    <a:lnTo>
                      <a:pt x="0" y="464"/>
                    </a:lnTo>
                    <a:lnTo>
                      <a:pt x="18" y="473"/>
                    </a:lnTo>
                    <a:lnTo>
                      <a:pt x="36" y="482"/>
                    </a:lnTo>
                    <a:lnTo>
                      <a:pt x="54" y="482"/>
                    </a:lnTo>
                    <a:lnTo>
                      <a:pt x="63" y="491"/>
                    </a:lnTo>
                    <a:lnTo>
                      <a:pt x="63" y="500"/>
                    </a:lnTo>
                    <a:lnTo>
                      <a:pt x="54" y="518"/>
                    </a:lnTo>
                    <a:lnTo>
                      <a:pt x="54" y="518"/>
                    </a:lnTo>
                    <a:lnTo>
                      <a:pt x="63" y="527"/>
                    </a:lnTo>
                    <a:lnTo>
                      <a:pt x="72" y="527"/>
                    </a:lnTo>
                    <a:lnTo>
                      <a:pt x="81" y="545"/>
                    </a:lnTo>
                    <a:lnTo>
                      <a:pt x="72" y="545"/>
                    </a:lnTo>
                    <a:lnTo>
                      <a:pt x="81" y="562"/>
                    </a:lnTo>
                    <a:lnTo>
                      <a:pt x="90" y="553"/>
                    </a:lnTo>
                    <a:lnTo>
                      <a:pt x="99" y="571"/>
                    </a:lnTo>
                    <a:lnTo>
                      <a:pt x="108" y="580"/>
                    </a:lnTo>
                    <a:lnTo>
                      <a:pt x="117" y="589"/>
                    </a:lnTo>
                    <a:lnTo>
                      <a:pt x="125" y="598"/>
                    </a:lnTo>
                    <a:lnTo>
                      <a:pt x="125" y="616"/>
                    </a:lnTo>
                    <a:lnTo>
                      <a:pt x="134" y="616"/>
                    </a:lnTo>
                    <a:lnTo>
                      <a:pt x="143" y="625"/>
                    </a:lnTo>
                    <a:lnTo>
                      <a:pt x="143" y="643"/>
                    </a:lnTo>
                    <a:lnTo>
                      <a:pt x="143" y="661"/>
                    </a:lnTo>
                    <a:lnTo>
                      <a:pt x="152" y="661"/>
                    </a:lnTo>
                    <a:lnTo>
                      <a:pt x="170" y="661"/>
                    </a:lnTo>
                    <a:lnTo>
                      <a:pt x="179" y="670"/>
                    </a:lnTo>
                    <a:lnTo>
                      <a:pt x="188" y="678"/>
                    </a:lnTo>
                    <a:lnTo>
                      <a:pt x="197" y="687"/>
                    </a:lnTo>
                    <a:lnTo>
                      <a:pt x="215" y="696"/>
                    </a:lnTo>
                    <a:lnTo>
                      <a:pt x="233" y="696"/>
                    </a:lnTo>
                    <a:lnTo>
                      <a:pt x="251" y="696"/>
                    </a:lnTo>
                    <a:lnTo>
                      <a:pt x="251" y="687"/>
                    </a:lnTo>
                    <a:lnTo>
                      <a:pt x="251" y="678"/>
                    </a:lnTo>
                    <a:lnTo>
                      <a:pt x="268" y="661"/>
                    </a:lnTo>
                    <a:lnTo>
                      <a:pt x="286" y="661"/>
                    </a:lnTo>
                    <a:lnTo>
                      <a:pt x="295" y="661"/>
                    </a:lnTo>
                    <a:lnTo>
                      <a:pt x="304" y="643"/>
                    </a:lnTo>
                    <a:lnTo>
                      <a:pt x="322" y="634"/>
                    </a:lnTo>
                    <a:lnTo>
                      <a:pt x="322" y="625"/>
                    </a:lnTo>
                    <a:lnTo>
                      <a:pt x="331" y="598"/>
                    </a:lnTo>
                    <a:lnTo>
                      <a:pt x="331" y="580"/>
                    </a:lnTo>
                    <a:lnTo>
                      <a:pt x="340" y="562"/>
                    </a:lnTo>
                    <a:lnTo>
                      <a:pt x="358" y="545"/>
                    </a:lnTo>
                    <a:lnTo>
                      <a:pt x="376" y="545"/>
                    </a:lnTo>
                    <a:lnTo>
                      <a:pt x="393" y="545"/>
                    </a:lnTo>
                    <a:lnTo>
                      <a:pt x="393" y="562"/>
                    </a:lnTo>
                    <a:lnTo>
                      <a:pt x="402" y="580"/>
                    </a:lnTo>
                    <a:lnTo>
                      <a:pt x="393" y="598"/>
                    </a:lnTo>
                    <a:lnTo>
                      <a:pt x="402" y="616"/>
                    </a:lnTo>
                    <a:lnTo>
                      <a:pt x="402" y="643"/>
                    </a:lnTo>
                    <a:lnTo>
                      <a:pt x="402" y="652"/>
                    </a:lnTo>
                    <a:lnTo>
                      <a:pt x="411" y="661"/>
                    </a:lnTo>
                    <a:lnTo>
                      <a:pt x="420" y="670"/>
                    </a:lnTo>
                    <a:lnTo>
                      <a:pt x="438" y="661"/>
                    </a:lnTo>
                    <a:lnTo>
                      <a:pt x="438" y="670"/>
                    </a:lnTo>
                    <a:lnTo>
                      <a:pt x="447" y="678"/>
                    </a:lnTo>
                    <a:lnTo>
                      <a:pt x="456" y="687"/>
                    </a:lnTo>
                    <a:lnTo>
                      <a:pt x="483" y="687"/>
                    </a:lnTo>
                    <a:lnTo>
                      <a:pt x="501" y="687"/>
                    </a:lnTo>
                    <a:lnTo>
                      <a:pt x="510" y="696"/>
                    </a:lnTo>
                    <a:lnTo>
                      <a:pt x="518" y="714"/>
                    </a:lnTo>
                    <a:lnTo>
                      <a:pt x="536" y="732"/>
                    </a:lnTo>
                  </a:path>
                </a:pathLst>
              </a:custGeom>
              <a:solidFill>
                <a:schemeClr val="accent6">
                  <a:lumMod val="75000"/>
                </a:schemeClr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41" name="Freeform 64">
                <a:extLst>
                  <a:ext uri="{FF2B5EF4-FFF2-40B4-BE49-F238E27FC236}">
                    <a16:creationId xmlns:a16="http://schemas.microsoft.com/office/drawing/2014/main" id="{00000000-0008-0000-0C00-000029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7791" y="9045"/>
                <a:ext cx="318" cy="296"/>
              </a:xfrm>
              <a:custGeom>
                <a:avLst/>
                <a:gdLst>
                  <a:gd name="T0" fmla="*/ 18 w 143"/>
                  <a:gd name="T1" fmla="*/ 0 h 125"/>
                  <a:gd name="T2" fmla="*/ 27 w 143"/>
                  <a:gd name="T3" fmla="*/ 9 h 125"/>
                  <a:gd name="T4" fmla="*/ 27 w 143"/>
                  <a:gd name="T5" fmla="*/ 9 h 125"/>
                  <a:gd name="T6" fmla="*/ 27 w 143"/>
                  <a:gd name="T7" fmla="*/ 9 h 125"/>
                  <a:gd name="T8" fmla="*/ 36 w 143"/>
                  <a:gd name="T9" fmla="*/ 18 h 125"/>
                  <a:gd name="T10" fmla="*/ 36 w 143"/>
                  <a:gd name="T11" fmla="*/ 18 h 125"/>
                  <a:gd name="T12" fmla="*/ 45 w 143"/>
                  <a:gd name="T13" fmla="*/ 18 h 125"/>
                  <a:gd name="T14" fmla="*/ 45 w 143"/>
                  <a:gd name="T15" fmla="*/ 18 h 125"/>
                  <a:gd name="T16" fmla="*/ 53 w 143"/>
                  <a:gd name="T17" fmla="*/ 18 h 125"/>
                  <a:gd name="T18" fmla="*/ 53 w 143"/>
                  <a:gd name="T19" fmla="*/ 18 h 125"/>
                  <a:gd name="T20" fmla="*/ 53 w 143"/>
                  <a:gd name="T21" fmla="*/ 18 h 125"/>
                  <a:gd name="T22" fmla="*/ 53 w 143"/>
                  <a:gd name="T23" fmla="*/ 27 h 125"/>
                  <a:gd name="T24" fmla="*/ 62 w 143"/>
                  <a:gd name="T25" fmla="*/ 27 h 125"/>
                  <a:gd name="T26" fmla="*/ 71 w 143"/>
                  <a:gd name="T27" fmla="*/ 36 h 125"/>
                  <a:gd name="T28" fmla="*/ 71 w 143"/>
                  <a:gd name="T29" fmla="*/ 36 h 125"/>
                  <a:gd name="T30" fmla="*/ 80 w 143"/>
                  <a:gd name="T31" fmla="*/ 36 h 125"/>
                  <a:gd name="T32" fmla="*/ 89 w 143"/>
                  <a:gd name="T33" fmla="*/ 45 h 125"/>
                  <a:gd name="T34" fmla="*/ 98 w 143"/>
                  <a:gd name="T35" fmla="*/ 45 h 125"/>
                  <a:gd name="T36" fmla="*/ 107 w 143"/>
                  <a:gd name="T37" fmla="*/ 45 h 125"/>
                  <a:gd name="T38" fmla="*/ 116 w 143"/>
                  <a:gd name="T39" fmla="*/ 54 h 125"/>
                  <a:gd name="T40" fmla="*/ 116 w 143"/>
                  <a:gd name="T41" fmla="*/ 54 h 125"/>
                  <a:gd name="T42" fmla="*/ 125 w 143"/>
                  <a:gd name="T43" fmla="*/ 54 h 125"/>
                  <a:gd name="T44" fmla="*/ 134 w 143"/>
                  <a:gd name="T45" fmla="*/ 54 h 125"/>
                  <a:gd name="T46" fmla="*/ 134 w 143"/>
                  <a:gd name="T47" fmla="*/ 63 h 125"/>
                  <a:gd name="T48" fmla="*/ 143 w 143"/>
                  <a:gd name="T49" fmla="*/ 63 h 125"/>
                  <a:gd name="T50" fmla="*/ 143 w 143"/>
                  <a:gd name="T51" fmla="*/ 63 h 125"/>
                  <a:gd name="T52" fmla="*/ 143 w 143"/>
                  <a:gd name="T53" fmla="*/ 71 h 125"/>
                  <a:gd name="T54" fmla="*/ 143 w 143"/>
                  <a:gd name="T55" fmla="*/ 71 h 125"/>
                  <a:gd name="T56" fmla="*/ 134 w 143"/>
                  <a:gd name="T57" fmla="*/ 80 h 125"/>
                  <a:gd name="T58" fmla="*/ 134 w 143"/>
                  <a:gd name="T59" fmla="*/ 89 h 125"/>
                  <a:gd name="T60" fmla="*/ 134 w 143"/>
                  <a:gd name="T61" fmla="*/ 89 h 125"/>
                  <a:gd name="T62" fmla="*/ 134 w 143"/>
                  <a:gd name="T63" fmla="*/ 89 h 125"/>
                  <a:gd name="T64" fmla="*/ 125 w 143"/>
                  <a:gd name="T65" fmla="*/ 98 h 125"/>
                  <a:gd name="T66" fmla="*/ 116 w 143"/>
                  <a:gd name="T67" fmla="*/ 107 h 125"/>
                  <a:gd name="T68" fmla="*/ 116 w 143"/>
                  <a:gd name="T69" fmla="*/ 116 h 125"/>
                  <a:gd name="T70" fmla="*/ 107 w 143"/>
                  <a:gd name="T71" fmla="*/ 116 h 125"/>
                  <a:gd name="T72" fmla="*/ 89 w 143"/>
                  <a:gd name="T73" fmla="*/ 125 h 125"/>
                  <a:gd name="T74" fmla="*/ 80 w 143"/>
                  <a:gd name="T75" fmla="*/ 125 h 125"/>
                  <a:gd name="T76" fmla="*/ 62 w 143"/>
                  <a:gd name="T77" fmla="*/ 125 h 125"/>
                  <a:gd name="T78" fmla="*/ 53 w 143"/>
                  <a:gd name="T79" fmla="*/ 125 h 125"/>
                  <a:gd name="T80" fmla="*/ 36 w 143"/>
                  <a:gd name="T81" fmla="*/ 125 h 125"/>
                  <a:gd name="T82" fmla="*/ 27 w 143"/>
                  <a:gd name="T83" fmla="*/ 116 h 125"/>
                  <a:gd name="T84" fmla="*/ 18 w 143"/>
                  <a:gd name="T85" fmla="*/ 107 h 125"/>
                  <a:gd name="T86" fmla="*/ 18 w 143"/>
                  <a:gd name="T87" fmla="*/ 98 h 125"/>
                  <a:gd name="T88" fmla="*/ 18 w 143"/>
                  <a:gd name="T89" fmla="*/ 89 h 125"/>
                  <a:gd name="T90" fmla="*/ 9 w 143"/>
                  <a:gd name="T91" fmla="*/ 80 h 125"/>
                  <a:gd name="T92" fmla="*/ 9 w 143"/>
                  <a:gd name="T93" fmla="*/ 71 h 125"/>
                  <a:gd name="T94" fmla="*/ 0 w 143"/>
                  <a:gd name="T95" fmla="*/ 71 h 125"/>
                  <a:gd name="T96" fmla="*/ 0 w 143"/>
                  <a:gd name="T97" fmla="*/ 63 h 125"/>
                  <a:gd name="T98" fmla="*/ 0 w 143"/>
                  <a:gd name="T99" fmla="*/ 45 h 125"/>
                  <a:gd name="T100" fmla="*/ 0 w 143"/>
                  <a:gd name="T101" fmla="*/ 45 h 125"/>
                  <a:gd name="T102" fmla="*/ 0 w 143"/>
                  <a:gd name="T103" fmla="*/ 36 h 125"/>
                  <a:gd name="T104" fmla="*/ 0 w 143"/>
                  <a:gd name="T105" fmla="*/ 27 h 125"/>
                  <a:gd name="T106" fmla="*/ 0 w 143"/>
                  <a:gd name="T107" fmla="*/ 18 h 125"/>
                  <a:gd name="T108" fmla="*/ 9 w 143"/>
                  <a:gd name="T109" fmla="*/ 18 h 125"/>
                  <a:gd name="T110" fmla="*/ 9 w 143"/>
                  <a:gd name="T111" fmla="*/ 9 h 12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</a:cxnLst>
                <a:rect l="0" t="0" r="r" b="b"/>
                <a:pathLst>
                  <a:path w="143" h="125">
                    <a:moveTo>
                      <a:pt x="9" y="9"/>
                    </a:moveTo>
                    <a:lnTo>
                      <a:pt x="9" y="9"/>
                    </a:lnTo>
                    <a:lnTo>
                      <a:pt x="18" y="9"/>
                    </a:lnTo>
                    <a:lnTo>
                      <a:pt x="18" y="0"/>
                    </a:lnTo>
                    <a:lnTo>
                      <a:pt x="18" y="0"/>
                    </a:lnTo>
                    <a:lnTo>
                      <a:pt x="18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36" y="9"/>
                    </a:lnTo>
                    <a:lnTo>
                      <a:pt x="36" y="9"/>
                    </a:lnTo>
                    <a:lnTo>
                      <a:pt x="36" y="18"/>
                    </a:lnTo>
                    <a:lnTo>
                      <a:pt x="36" y="18"/>
                    </a:lnTo>
                    <a:lnTo>
                      <a:pt x="36" y="18"/>
                    </a:lnTo>
                    <a:lnTo>
                      <a:pt x="36" y="18"/>
                    </a:lnTo>
                    <a:lnTo>
                      <a:pt x="36" y="18"/>
                    </a:lnTo>
                    <a:lnTo>
                      <a:pt x="36" y="18"/>
                    </a:lnTo>
                    <a:lnTo>
                      <a:pt x="36" y="18"/>
                    </a:lnTo>
                    <a:lnTo>
                      <a:pt x="36" y="18"/>
                    </a:lnTo>
                    <a:lnTo>
                      <a:pt x="45" y="18"/>
                    </a:lnTo>
                    <a:lnTo>
                      <a:pt x="45" y="18"/>
                    </a:lnTo>
                    <a:lnTo>
                      <a:pt x="45" y="18"/>
                    </a:lnTo>
                    <a:lnTo>
                      <a:pt x="45" y="18"/>
                    </a:lnTo>
                    <a:lnTo>
                      <a:pt x="45" y="18"/>
                    </a:lnTo>
                    <a:lnTo>
                      <a:pt x="45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27"/>
                    </a:lnTo>
                    <a:lnTo>
                      <a:pt x="62" y="27"/>
                    </a:lnTo>
                    <a:lnTo>
                      <a:pt x="62" y="27"/>
                    </a:lnTo>
                    <a:lnTo>
                      <a:pt x="62" y="27"/>
                    </a:lnTo>
                    <a:lnTo>
                      <a:pt x="62" y="27"/>
                    </a:lnTo>
                    <a:lnTo>
                      <a:pt x="62" y="27"/>
                    </a:lnTo>
                    <a:lnTo>
                      <a:pt x="62" y="27"/>
                    </a:lnTo>
                    <a:lnTo>
                      <a:pt x="71" y="27"/>
                    </a:lnTo>
                    <a:lnTo>
                      <a:pt x="71" y="36"/>
                    </a:lnTo>
                    <a:lnTo>
                      <a:pt x="71" y="36"/>
                    </a:lnTo>
                    <a:lnTo>
                      <a:pt x="71" y="36"/>
                    </a:lnTo>
                    <a:lnTo>
                      <a:pt x="71" y="36"/>
                    </a:lnTo>
                    <a:lnTo>
                      <a:pt x="71" y="36"/>
                    </a:lnTo>
                    <a:lnTo>
                      <a:pt x="71" y="36"/>
                    </a:lnTo>
                    <a:lnTo>
                      <a:pt x="71" y="36"/>
                    </a:lnTo>
                    <a:lnTo>
                      <a:pt x="80" y="36"/>
                    </a:lnTo>
                    <a:lnTo>
                      <a:pt x="80" y="36"/>
                    </a:lnTo>
                    <a:lnTo>
                      <a:pt x="80" y="45"/>
                    </a:lnTo>
                    <a:lnTo>
                      <a:pt x="80" y="45"/>
                    </a:lnTo>
                    <a:lnTo>
                      <a:pt x="80" y="45"/>
                    </a:lnTo>
                    <a:lnTo>
                      <a:pt x="89" y="45"/>
                    </a:lnTo>
                    <a:lnTo>
                      <a:pt x="89" y="45"/>
                    </a:lnTo>
                    <a:lnTo>
                      <a:pt x="89" y="45"/>
                    </a:lnTo>
                    <a:lnTo>
                      <a:pt x="98" y="45"/>
                    </a:lnTo>
                    <a:lnTo>
                      <a:pt x="98" y="45"/>
                    </a:lnTo>
                    <a:lnTo>
                      <a:pt x="98" y="45"/>
                    </a:lnTo>
                    <a:lnTo>
                      <a:pt x="98" y="45"/>
                    </a:lnTo>
                    <a:lnTo>
                      <a:pt x="107" y="45"/>
                    </a:lnTo>
                    <a:lnTo>
                      <a:pt x="107" y="45"/>
                    </a:lnTo>
                    <a:lnTo>
                      <a:pt x="107" y="54"/>
                    </a:lnTo>
                    <a:lnTo>
                      <a:pt x="107" y="54"/>
                    </a:lnTo>
                    <a:lnTo>
                      <a:pt x="107" y="54"/>
                    </a:lnTo>
                    <a:lnTo>
                      <a:pt x="116" y="54"/>
                    </a:lnTo>
                    <a:lnTo>
                      <a:pt x="116" y="54"/>
                    </a:lnTo>
                    <a:lnTo>
                      <a:pt x="116" y="54"/>
                    </a:lnTo>
                    <a:lnTo>
                      <a:pt x="116" y="54"/>
                    </a:lnTo>
                    <a:lnTo>
                      <a:pt x="116" y="54"/>
                    </a:lnTo>
                    <a:lnTo>
                      <a:pt x="116" y="54"/>
                    </a:lnTo>
                    <a:lnTo>
                      <a:pt x="125" y="54"/>
                    </a:lnTo>
                    <a:lnTo>
                      <a:pt x="125" y="54"/>
                    </a:lnTo>
                    <a:lnTo>
                      <a:pt x="125" y="54"/>
                    </a:lnTo>
                    <a:lnTo>
                      <a:pt x="125" y="54"/>
                    </a:lnTo>
                    <a:lnTo>
                      <a:pt x="125" y="54"/>
                    </a:lnTo>
                    <a:lnTo>
                      <a:pt x="134" y="54"/>
                    </a:lnTo>
                    <a:lnTo>
                      <a:pt x="134" y="54"/>
                    </a:lnTo>
                    <a:lnTo>
                      <a:pt x="134" y="54"/>
                    </a:lnTo>
                    <a:lnTo>
                      <a:pt x="134" y="54"/>
                    </a:lnTo>
                    <a:lnTo>
                      <a:pt x="134" y="63"/>
                    </a:lnTo>
                    <a:lnTo>
                      <a:pt x="134" y="63"/>
                    </a:lnTo>
                    <a:lnTo>
                      <a:pt x="134" y="63"/>
                    </a:lnTo>
                    <a:lnTo>
                      <a:pt x="134" y="63"/>
                    </a:lnTo>
                    <a:lnTo>
                      <a:pt x="143" y="63"/>
                    </a:lnTo>
                    <a:lnTo>
                      <a:pt x="143" y="63"/>
                    </a:lnTo>
                    <a:lnTo>
                      <a:pt x="143" y="63"/>
                    </a:lnTo>
                    <a:lnTo>
                      <a:pt x="143" y="63"/>
                    </a:lnTo>
                    <a:lnTo>
                      <a:pt x="143" y="63"/>
                    </a:lnTo>
                    <a:lnTo>
                      <a:pt x="143" y="63"/>
                    </a:lnTo>
                    <a:lnTo>
                      <a:pt x="143" y="71"/>
                    </a:lnTo>
                    <a:lnTo>
                      <a:pt x="143" y="71"/>
                    </a:lnTo>
                    <a:lnTo>
                      <a:pt x="143" y="71"/>
                    </a:lnTo>
                    <a:lnTo>
                      <a:pt x="143" y="71"/>
                    </a:lnTo>
                    <a:lnTo>
                      <a:pt x="143" y="71"/>
                    </a:lnTo>
                    <a:lnTo>
                      <a:pt x="143" y="71"/>
                    </a:lnTo>
                    <a:lnTo>
                      <a:pt x="143" y="71"/>
                    </a:lnTo>
                    <a:lnTo>
                      <a:pt x="143" y="71"/>
                    </a:lnTo>
                    <a:lnTo>
                      <a:pt x="143" y="71"/>
                    </a:lnTo>
                    <a:lnTo>
                      <a:pt x="143" y="80"/>
                    </a:lnTo>
                    <a:lnTo>
                      <a:pt x="134" y="80"/>
                    </a:lnTo>
                    <a:lnTo>
                      <a:pt x="134" y="80"/>
                    </a:lnTo>
                    <a:lnTo>
                      <a:pt x="134" y="80"/>
                    </a:lnTo>
                    <a:lnTo>
                      <a:pt x="134" y="80"/>
                    </a:lnTo>
                    <a:lnTo>
                      <a:pt x="134" y="80"/>
                    </a:lnTo>
                    <a:lnTo>
                      <a:pt x="134" y="89"/>
                    </a:lnTo>
                    <a:lnTo>
                      <a:pt x="134" y="89"/>
                    </a:lnTo>
                    <a:lnTo>
                      <a:pt x="134" y="89"/>
                    </a:lnTo>
                    <a:lnTo>
                      <a:pt x="134" y="89"/>
                    </a:lnTo>
                    <a:lnTo>
                      <a:pt x="134" y="89"/>
                    </a:lnTo>
                    <a:lnTo>
                      <a:pt x="134" y="89"/>
                    </a:lnTo>
                    <a:lnTo>
                      <a:pt x="134" y="89"/>
                    </a:lnTo>
                    <a:lnTo>
                      <a:pt x="134" y="89"/>
                    </a:lnTo>
                    <a:lnTo>
                      <a:pt x="134" y="89"/>
                    </a:lnTo>
                    <a:lnTo>
                      <a:pt x="125" y="98"/>
                    </a:lnTo>
                    <a:lnTo>
                      <a:pt x="125" y="98"/>
                    </a:lnTo>
                    <a:lnTo>
                      <a:pt x="125" y="98"/>
                    </a:lnTo>
                    <a:lnTo>
                      <a:pt x="125" y="98"/>
                    </a:lnTo>
                    <a:lnTo>
                      <a:pt x="125" y="98"/>
                    </a:lnTo>
                    <a:lnTo>
                      <a:pt x="125" y="107"/>
                    </a:lnTo>
                    <a:lnTo>
                      <a:pt x="116" y="107"/>
                    </a:lnTo>
                    <a:lnTo>
                      <a:pt x="116" y="107"/>
                    </a:lnTo>
                    <a:lnTo>
                      <a:pt x="116" y="107"/>
                    </a:lnTo>
                    <a:lnTo>
                      <a:pt x="116" y="107"/>
                    </a:lnTo>
                    <a:lnTo>
                      <a:pt x="116" y="116"/>
                    </a:lnTo>
                    <a:lnTo>
                      <a:pt x="116" y="116"/>
                    </a:lnTo>
                    <a:lnTo>
                      <a:pt x="107" y="116"/>
                    </a:lnTo>
                    <a:lnTo>
                      <a:pt x="107" y="116"/>
                    </a:lnTo>
                    <a:lnTo>
                      <a:pt x="107" y="116"/>
                    </a:lnTo>
                    <a:lnTo>
                      <a:pt x="107" y="116"/>
                    </a:lnTo>
                    <a:lnTo>
                      <a:pt x="98" y="116"/>
                    </a:lnTo>
                    <a:lnTo>
                      <a:pt x="98" y="116"/>
                    </a:lnTo>
                    <a:lnTo>
                      <a:pt x="98" y="116"/>
                    </a:lnTo>
                    <a:lnTo>
                      <a:pt x="89" y="125"/>
                    </a:lnTo>
                    <a:lnTo>
                      <a:pt x="89" y="125"/>
                    </a:lnTo>
                    <a:lnTo>
                      <a:pt x="89" y="125"/>
                    </a:lnTo>
                    <a:lnTo>
                      <a:pt x="80" y="125"/>
                    </a:lnTo>
                    <a:lnTo>
                      <a:pt x="80" y="125"/>
                    </a:lnTo>
                    <a:lnTo>
                      <a:pt x="71" y="125"/>
                    </a:lnTo>
                    <a:lnTo>
                      <a:pt x="71" y="125"/>
                    </a:lnTo>
                    <a:lnTo>
                      <a:pt x="71" y="125"/>
                    </a:lnTo>
                    <a:lnTo>
                      <a:pt x="62" y="125"/>
                    </a:lnTo>
                    <a:lnTo>
                      <a:pt x="62" y="125"/>
                    </a:lnTo>
                    <a:lnTo>
                      <a:pt x="53" y="125"/>
                    </a:lnTo>
                    <a:lnTo>
                      <a:pt x="53" y="125"/>
                    </a:lnTo>
                    <a:lnTo>
                      <a:pt x="53" y="125"/>
                    </a:lnTo>
                    <a:lnTo>
                      <a:pt x="45" y="125"/>
                    </a:lnTo>
                    <a:lnTo>
                      <a:pt x="45" y="125"/>
                    </a:lnTo>
                    <a:lnTo>
                      <a:pt x="45" y="125"/>
                    </a:lnTo>
                    <a:lnTo>
                      <a:pt x="36" y="125"/>
                    </a:lnTo>
                    <a:lnTo>
                      <a:pt x="36" y="125"/>
                    </a:lnTo>
                    <a:lnTo>
                      <a:pt x="36" y="125"/>
                    </a:lnTo>
                    <a:lnTo>
                      <a:pt x="27" y="125"/>
                    </a:lnTo>
                    <a:lnTo>
                      <a:pt x="27" y="116"/>
                    </a:lnTo>
                    <a:lnTo>
                      <a:pt x="27" y="116"/>
                    </a:lnTo>
                    <a:lnTo>
                      <a:pt x="27" y="116"/>
                    </a:lnTo>
                    <a:lnTo>
                      <a:pt x="18" y="116"/>
                    </a:lnTo>
                    <a:lnTo>
                      <a:pt x="18" y="107"/>
                    </a:lnTo>
                    <a:lnTo>
                      <a:pt x="18" y="107"/>
                    </a:lnTo>
                    <a:lnTo>
                      <a:pt x="18" y="107"/>
                    </a:lnTo>
                    <a:lnTo>
                      <a:pt x="18" y="98"/>
                    </a:lnTo>
                    <a:lnTo>
                      <a:pt x="18" y="98"/>
                    </a:lnTo>
                    <a:lnTo>
                      <a:pt x="18" y="98"/>
                    </a:lnTo>
                    <a:lnTo>
                      <a:pt x="18" y="98"/>
                    </a:lnTo>
                    <a:lnTo>
                      <a:pt x="18" y="89"/>
                    </a:lnTo>
                    <a:lnTo>
                      <a:pt x="18" y="89"/>
                    </a:lnTo>
                    <a:lnTo>
                      <a:pt x="18" y="89"/>
                    </a:lnTo>
                    <a:lnTo>
                      <a:pt x="18" y="89"/>
                    </a:lnTo>
                    <a:lnTo>
                      <a:pt x="9" y="89"/>
                    </a:lnTo>
                    <a:lnTo>
                      <a:pt x="9" y="80"/>
                    </a:lnTo>
                    <a:lnTo>
                      <a:pt x="9" y="80"/>
                    </a:lnTo>
                    <a:lnTo>
                      <a:pt x="9" y="80"/>
                    </a:lnTo>
                    <a:lnTo>
                      <a:pt x="9" y="80"/>
                    </a:lnTo>
                    <a:lnTo>
                      <a:pt x="9" y="71"/>
                    </a:lnTo>
                    <a:lnTo>
                      <a:pt x="9" y="71"/>
                    </a:lnTo>
                    <a:lnTo>
                      <a:pt x="0" y="71"/>
                    </a:lnTo>
                    <a:lnTo>
                      <a:pt x="0" y="71"/>
                    </a:lnTo>
                    <a:lnTo>
                      <a:pt x="0" y="71"/>
                    </a:lnTo>
                    <a:lnTo>
                      <a:pt x="0" y="63"/>
                    </a:lnTo>
                    <a:lnTo>
                      <a:pt x="0" y="63"/>
                    </a:lnTo>
                    <a:lnTo>
                      <a:pt x="0" y="63"/>
                    </a:lnTo>
                    <a:lnTo>
                      <a:pt x="0" y="63"/>
                    </a:lnTo>
                    <a:lnTo>
                      <a:pt x="0" y="54"/>
                    </a:lnTo>
                    <a:lnTo>
                      <a:pt x="0" y="54"/>
                    </a:lnTo>
                    <a:lnTo>
                      <a:pt x="0" y="54"/>
                    </a:lnTo>
                    <a:lnTo>
                      <a:pt x="0" y="45"/>
                    </a:lnTo>
                    <a:lnTo>
                      <a:pt x="0" y="45"/>
                    </a:lnTo>
                    <a:lnTo>
                      <a:pt x="0" y="45"/>
                    </a:lnTo>
                    <a:lnTo>
                      <a:pt x="0" y="45"/>
                    </a:lnTo>
                    <a:lnTo>
                      <a:pt x="0" y="45"/>
                    </a:lnTo>
                    <a:lnTo>
                      <a:pt x="0" y="36"/>
                    </a:lnTo>
                    <a:lnTo>
                      <a:pt x="0" y="36"/>
                    </a:lnTo>
                    <a:lnTo>
                      <a:pt x="0" y="36"/>
                    </a:lnTo>
                    <a:lnTo>
                      <a:pt x="0" y="36"/>
                    </a:lnTo>
                    <a:lnTo>
                      <a:pt x="0" y="36"/>
                    </a:lnTo>
                    <a:lnTo>
                      <a:pt x="0" y="27"/>
                    </a:lnTo>
                    <a:lnTo>
                      <a:pt x="0" y="27"/>
                    </a:lnTo>
                    <a:lnTo>
                      <a:pt x="0" y="27"/>
                    </a:lnTo>
                    <a:lnTo>
                      <a:pt x="0" y="27"/>
                    </a:lnTo>
                    <a:lnTo>
                      <a:pt x="0" y="27"/>
                    </a:lnTo>
                    <a:lnTo>
                      <a:pt x="0" y="27"/>
                    </a:lnTo>
                    <a:lnTo>
                      <a:pt x="0" y="18"/>
                    </a:lnTo>
                    <a:lnTo>
                      <a:pt x="0" y="18"/>
                    </a:lnTo>
                    <a:lnTo>
                      <a:pt x="0" y="18"/>
                    </a:lnTo>
                    <a:lnTo>
                      <a:pt x="0" y="18"/>
                    </a:lnTo>
                    <a:lnTo>
                      <a:pt x="9" y="18"/>
                    </a:lnTo>
                    <a:lnTo>
                      <a:pt x="9" y="9"/>
                    </a:lnTo>
                    <a:lnTo>
                      <a:pt x="9" y="9"/>
                    </a:lnTo>
                    <a:lnTo>
                      <a:pt x="9" y="9"/>
                    </a:lnTo>
                    <a:lnTo>
                      <a:pt x="9" y="9"/>
                    </a:lnTo>
                    <a:lnTo>
                      <a:pt x="9" y="9"/>
                    </a:lnTo>
                  </a:path>
                </a:pathLst>
              </a:custGeom>
              <a:solidFill>
                <a:schemeClr val="accent6">
                  <a:lumMod val="75000"/>
                </a:schemeClr>
              </a:solidFill>
              <a:ln w="15875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42" name="Freeform 65">
                <a:extLst>
                  <a:ext uri="{FF2B5EF4-FFF2-40B4-BE49-F238E27FC236}">
                    <a16:creationId xmlns:a16="http://schemas.microsoft.com/office/drawing/2014/main" id="{00000000-0008-0000-0C00-00002A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138" y="9721"/>
                <a:ext cx="1764" cy="2371"/>
              </a:xfrm>
              <a:custGeom>
                <a:avLst/>
                <a:gdLst>
                  <a:gd name="T0" fmla="*/ 9 w 795"/>
                  <a:gd name="T1" fmla="*/ 580 h 1000"/>
                  <a:gd name="T2" fmla="*/ 27 w 795"/>
                  <a:gd name="T3" fmla="*/ 580 h 1000"/>
                  <a:gd name="T4" fmla="*/ 27 w 795"/>
                  <a:gd name="T5" fmla="*/ 607 h 1000"/>
                  <a:gd name="T6" fmla="*/ 36 w 795"/>
                  <a:gd name="T7" fmla="*/ 616 h 1000"/>
                  <a:gd name="T8" fmla="*/ 62 w 795"/>
                  <a:gd name="T9" fmla="*/ 616 h 1000"/>
                  <a:gd name="T10" fmla="*/ 62 w 795"/>
                  <a:gd name="T11" fmla="*/ 643 h 1000"/>
                  <a:gd name="T12" fmla="*/ 71 w 795"/>
                  <a:gd name="T13" fmla="*/ 652 h 1000"/>
                  <a:gd name="T14" fmla="*/ 89 w 795"/>
                  <a:gd name="T15" fmla="*/ 643 h 1000"/>
                  <a:gd name="T16" fmla="*/ 116 w 795"/>
                  <a:gd name="T17" fmla="*/ 661 h 1000"/>
                  <a:gd name="T18" fmla="*/ 125 w 795"/>
                  <a:gd name="T19" fmla="*/ 661 h 1000"/>
                  <a:gd name="T20" fmla="*/ 152 w 795"/>
                  <a:gd name="T21" fmla="*/ 669 h 1000"/>
                  <a:gd name="T22" fmla="*/ 179 w 795"/>
                  <a:gd name="T23" fmla="*/ 669 h 1000"/>
                  <a:gd name="T24" fmla="*/ 188 w 795"/>
                  <a:gd name="T25" fmla="*/ 696 h 1000"/>
                  <a:gd name="T26" fmla="*/ 188 w 795"/>
                  <a:gd name="T27" fmla="*/ 723 h 1000"/>
                  <a:gd name="T28" fmla="*/ 205 w 795"/>
                  <a:gd name="T29" fmla="*/ 750 h 1000"/>
                  <a:gd name="T30" fmla="*/ 232 w 795"/>
                  <a:gd name="T31" fmla="*/ 768 h 1000"/>
                  <a:gd name="T32" fmla="*/ 250 w 795"/>
                  <a:gd name="T33" fmla="*/ 794 h 1000"/>
                  <a:gd name="T34" fmla="*/ 250 w 795"/>
                  <a:gd name="T35" fmla="*/ 821 h 1000"/>
                  <a:gd name="T36" fmla="*/ 250 w 795"/>
                  <a:gd name="T37" fmla="*/ 875 h 1000"/>
                  <a:gd name="T38" fmla="*/ 259 w 795"/>
                  <a:gd name="T39" fmla="*/ 920 h 1000"/>
                  <a:gd name="T40" fmla="*/ 277 w 795"/>
                  <a:gd name="T41" fmla="*/ 928 h 1000"/>
                  <a:gd name="T42" fmla="*/ 313 w 795"/>
                  <a:gd name="T43" fmla="*/ 937 h 1000"/>
                  <a:gd name="T44" fmla="*/ 348 w 795"/>
                  <a:gd name="T45" fmla="*/ 946 h 1000"/>
                  <a:gd name="T46" fmla="*/ 375 w 795"/>
                  <a:gd name="T47" fmla="*/ 946 h 1000"/>
                  <a:gd name="T48" fmla="*/ 402 w 795"/>
                  <a:gd name="T49" fmla="*/ 964 h 1000"/>
                  <a:gd name="T50" fmla="*/ 420 w 795"/>
                  <a:gd name="T51" fmla="*/ 973 h 1000"/>
                  <a:gd name="T52" fmla="*/ 438 w 795"/>
                  <a:gd name="T53" fmla="*/ 991 h 1000"/>
                  <a:gd name="T54" fmla="*/ 455 w 795"/>
                  <a:gd name="T55" fmla="*/ 1000 h 1000"/>
                  <a:gd name="T56" fmla="*/ 455 w 795"/>
                  <a:gd name="T57" fmla="*/ 982 h 1000"/>
                  <a:gd name="T58" fmla="*/ 473 w 795"/>
                  <a:gd name="T59" fmla="*/ 982 h 1000"/>
                  <a:gd name="T60" fmla="*/ 500 w 795"/>
                  <a:gd name="T61" fmla="*/ 982 h 1000"/>
                  <a:gd name="T62" fmla="*/ 527 w 795"/>
                  <a:gd name="T63" fmla="*/ 964 h 1000"/>
                  <a:gd name="T64" fmla="*/ 491 w 795"/>
                  <a:gd name="T65" fmla="*/ 821 h 1000"/>
                  <a:gd name="T66" fmla="*/ 518 w 795"/>
                  <a:gd name="T67" fmla="*/ 678 h 1000"/>
                  <a:gd name="T68" fmla="*/ 572 w 795"/>
                  <a:gd name="T69" fmla="*/ 562 h 1000"/>
                  <a:gd name="T70" fmla="*/ 607 w 795"/>
                  <a:gd name="T71" fmla="*/ 384 h 1000"/>
                  <a:gd name="T72" fmla="*/ 706 w 795"/>
                  <a:gd name="T73" fmla="*/ 259 h 1000"/>
                  <a:gd name="T74" fmla="*/ 786 w 795"/>
                  <a:gd name="T75" fmla="*/ 223 h 1000"/>
                  <a:gd name="T76" fmla="*/ 777 w 795"/>
                  <a:gd name="T77" fmla="*/ 152 h 1000"/>
                  <a:gd name="T78" fmla="*/ 723 w 795"/>
                  <a:gd name="T79" fmla="*/ 98 h 1000"/>
                  <a:gd name="T80" fmla="*/ 670 w 795"/>
                  <a:gd name="T81" fmla="*/ 27 h 1000"/>
                  <a:gd name="T82" fmla="*/ 616 w 795"/>
                  <a:gd name="T83" fmla="*/ 18 h 1000"/>
                  <a:gd name="T84" fmla="*/ 518 w 795"/>
                  <a:gd name="T85" fmla="*/ 98 h 1000"/>
                  <a:gd name="T86" fmla="*/ 438 w 795"/>
                  <a:gd name="T87" fmla="*/ 71 h 1000"/>
                  <a:gd name="T88" fmla="*/ 357 w 795"/>
                  <a:gd name="T89" fmla="*/ 62 h 1000"/>
                  <a:gd name="T90" fmla="*/ 295 w 795"/>
                  <a:gd name="T91" fmla="*/ 107 h 1000"/>
                  <a:gd name="T92" fmla="*/ 179 w 795"/>
                  <a:gd name="T93" fmla="*/ 116 h 1000"/>
                  <a:gd name="T94" fmla="*/ 125 w 795"/>
                  <a:gd name="T95" fmla="*/ 152 h 1000"/>
                  <a:gd name="T96" fmla="*/ 152 w 795"/>
                  <a:gd name="T97" fmla="*/ 294 h 1000"/>
                  <a:gd name="T98" fmla="*/ 179 w 795"/>
                  <a:gd name="T99" fmla="*/ 348 h 1000"/>
                  <a:gd name="T100" fmla="*/ 161 w 795"/>
                  <a:gd name="T101" fmla="*/ 419 h 1000"/>
                  <a:gd name="T102" fmla="*/ 125 w 795"/>
                  <a:gd name="T103" fmla="*/ 419 h 1000"/>
                  <a:gd name="T104" fmla="*/ 98 w 795"/>
                  <a:gd name="T105" fmla="*/ 411 h 1000"/>
                  <a:gd name="T106" fmla="*/ 45 w 795"/>
                  <a:gd name="T107" fmla="*/ 402 h 1000"/>
                  <a:gd name="T108" fmla="*/ 27 w 795"/>
                  <a:gd name="T109" fmla="*/ 446 h 1000"/>
                  <a:gd name="T110" fmla="*/ 9 w 795"/>
                  <a:gd name="T111" fmla="*/ 553 h 100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</a:cxnLst>
                <a:rect l="0" t="0" r="r" b="b"/>
                <a:pathLst>
                  <a:path w="795" h="1000">
                    <a:moveTo>
                      <a:pt x="0" y="571"/>
                    </a:moveTo>
                    <a:lnTo>
                      <a:pt x="0" y="571"/>
                    </a:lnTo>
                    <a:lnTo>
                      <a:pt x="0" y="571"/>
                    </a:lnTo>
                    <a:lnTo>
                      <a:pt x="0" y="571"/>
                    </a:lnTo>
                    <a:lnTo>
                      <a:pt x="9" y="571"/>
                    </a:lnTo>
                    <a:lnTo>
                      <a:pt x="9" y="571"/>
                    </a:lnTo>
                    <a:lnTo>
                      <a:pt x="9" y="580"/>
                    </a:lnTo>
                    <a:lnTo>
                      <a:pt x="9" y="580"/>
                    </a:lnTo>
                    <a:lnTo>
                      <a:pt x="9" y="580"/>
                    </a:lnTo>
                    <a:lnTo>
                      <a:pt x="18" y="580"/>
                    </a:lnTo>
                    <a:lnTo>
                      <a:pt x="18" y="580"/>
                    </a:lnTo>
                    <a:lnTo>
                      <a:pt x="18" y="580"/>
                    </a:lnTo>
                    <a:lnTo>
                      <a:pt x="18" y="580"/>
                    </a:lnTo>
                    <a:lnTo>
                      <a:pt x="27" y="580"/>
                    </a:lnTo>
                    <a:lnTo>
                      <a:pt x="27" y="589"/>
                    </a:lnTo>
                    <a:lnTo>
                      <a:pt x="27" y="589"/>
                    </a:lnTo>
                    <a:lnTo>
                      <a:pt x="27" y="589"/>
                    </a:lnTo>
                    <a:lnTo>
                      <a:pt x="27" y="598"/>
                    </a:lnTo>
                    <a:lnTo>
                      <a:pt x="27" y="598"/>
                    </a:lnTo>
                    <a:lnTo>
                      <a:pt x="27" y="598"/>
                    </a:lnTo>
                    <a:lnTo>
                      <a:pt x="27" y="607"/>
                    </a:lnTo>
                    <a:lnTo>
                      <a:pt x="27" y="607"/>
                    </a:lnTo>
                    <a:lnTo>
                      <a:pt x="27" y="607"/>
                    </a:lnTo>
                    <a:lnTo>
                      <a:pt x="27" y="616"/>
                    </a:lnTo>
                    <a:lnTo>
                      <a:pt x="27" y="616"/>
                    </a:lnTo>
                    <a:lnTo>
                      <a:pt x="36" y="616"/>
                    </a:lnTo>
                    <a:lnTo>
                      <a:pt x="36" y="616"/>
                    </a:lnTo>
                    <a:lnTo>
                      <a:pt x="36" y="616"/>
                    </a:lnTo>
                    <a:lnTo>
                      <a:pt x="45" y="616"/>
                    </a:lnTo>
                    <a:lnTo>
                      <a:pt x="45" y="616"/>
                    </a:lnTo>
                    <a:lnTo>
                      <a:pt x="54" y="616"/>
                    </a:lnTo>
                    <a:lnTo>
                      <a:pt x="54" y="616"/>
                    </a:lnTo>
                    <a:lnTo>
                      <a:pt x="54" y="616"/>
                    </a:lnTo>
                    <a:lnTo>
                      <a:pt x="62" y="616"/>
                    </a:lnTo>
                    <a:lnTo>
                      <a:pt x="62" y="616"/>
                    </a:lnTo>
                    <a:lnTo>
                      <a:pt x="62" y="625"/>
                    </a:lnTo>
                    <a:lnTo>
                      <a:pt x="62" y="625"/>
                    </a:lnTo>
                    <a:lnTo>
                      <a:pt x="62" y="625"/>
                    </a:lnTo>
                    <a:lnTo>
                      <a:pt x="62" y="634"/>
                    </a:lnTo>
                    <a:lnTo>
                      <a:pt x="62" y="634"/>
                    </a:lnTo>
                    <a:lnTo>
                      <a:pt x="62" y="634"/>
                    </a:lnTo>
                    <a:lnTo>
                      <a:pt x="62" y="643"/>
                    </a:lnTo>
                    <a:lnTo>
                      <a:pt x="71" y="643"/>
                    </a:lnTo>
                    <a:lnTo>
                      <a:pt x="71" y="643"/>
                    </a:lnTo>
                    <a:lnTo>
                      <a:pt x="71" y="643"/>
                    </a:lnTo>
                    <a:lnTo>
                      <a:pt x="71" y="652"/>
                    </a:lnTo>
                    <a:lnTo>
                      <a:pt x="71" y="652"/>
                    </a:lnTo>
                    <a:lnTo>
                      <a:pt x="71" y="652"/>
                    </a:lnTo>
                    <a:lnTo>
                      <a:pt x="71" y="652"/>
                    </a:lnTo>
                    <a:lnTo>
                      <a:pt x="71" y="652"/>
                    </a:lnTo>
                    <a:lnTo>
                      <a:pt x="80" y="652"/>
                    </a:lnTo>
                    <a:lnTo>
                      <a:pt x="80" y="652"/>
                    </a:lnTo>
                    <a:lnTo>
                      <a:pt x="80" y="652"/>
                    </a:lnTo>
                    <a:lnTo>
                      <a:pt x="89" y="652"/>
                    </a:lnTo>
                    <a:lnTo>
                      <a:pt x="89" y="643"/>
                    </a:lnTo>
                    <a:lnTo>
                      <a:pt x="89" y="643"/>
                    </a:lnTo>
                    <a:lnTo>
                      <a:pt x="98" y="643"/>
                    </a:lnTo>
                    <a:lnTo>
                      <a:pt x="98" y="652"/>
                    </a:lnTo>
                    <a:lnTo>
                      <a:pt x="98" y="652"/>
                    </a:lnTo>
                    <a:lnTo>
                      <a:pt x="107" y="652"/>
                    </a:lnTo>
                    <a:lnTo>
                      <a:pt x="107" y="652"/>
                    </a:lnTo>
                    <a:lnTo>
                      <a:pt x="107" y="652"/>
                    </a:lnTo>
                    <a:lnTo>
                      <a:pt x="116" y="661"/>
                    </a:lnTo>
                    <a:lnTo>
                      <a:pt x="116" y="661"/>
                    </a:lnTo>
                    <a:lnTo>
                      <a:pt x="116" y="661"/>
                    </a:lnTo>
                    <a:lnTo>
                      <a:pt x="116" y="661"/>
                    </a:lnTo>
                    <a:lnTo>
                      <a:pt x="125" y="661"/>
                    </a:lnTo>
                    <a:lnTo>
                      <a:pt x="125" y="661"/>
                    </a:lnTo>
                    <a:lnTo>
                      <a:pt x="125" y="661"/>
                    </a:lnTo>
                    <a:lnTo>
                      <a:pt x="125" y="661"/>
                    </a:lnTo>
                    <a:lnTo>
                      <a:pt x="134" y="661"/>
                    </a:lnTo>
                    <a:lnTo>
                      <a:pt x="134" y="661"/>
                    </a:lnTo>
                    <a:lnTo>
                      <a:pt x="134" y="661"/>
                    </a:lnTo>
                    <a:lnTo>
                      <a:pt x="143" y="661"/>
                    </a:lnTo>
                    <a:lnTo>
                      <a:pt x="143" y="669"/>
                    </a:lnTo>
                    <a:lnTo>
                      <a:pt x="143" y="669"/>
                    </a:lnTo>
                    <a:lnTo>
                      <a:pt x="152" y="669"/>
                    </a:lnTo>
                    <a:lnTo>
                      <a:pt x="152" y="669"/>
                    </a:lnTo>
                    <a:lnTo>
                      <a:pt x="161" y="669"/>
                    </a:lnTo>
                    <a:lnTo>
                      <a:pt x="161" y="669"/>
                    </a:lnTo>
                    <a:lnTo>
                      <a:pt x="170" y="669"/>
                    </a:lnTo>
                    <a:lnTo>
                      <a:pt x="170" y="669"/>
                    </a:lnTo>
                    <a:lnTo>
                      <a:pt x="170" y="669"/>
                    </a:lnTo>
                    <a:lnTo>
                      <a:pt x="179" y="669"/>
                    </a:lnTo>
                    <a:lnTo>
                      <a:pt x="179" y="678"/>
                    </a:lnTo>
                    <a:lnTo>
                      <a:pt x="179" y="678"/>
                    </a:lnTo>
                    <a:lnTo>
                      <a:pt x="179" y="678"/>
                    </a:lnTo>
                    <a:lnTo>
                      <a:pt x="188" y="678"/>
                    </a:lnTo>
                    <a:lnTo>
                      <a:pt x="188" y="687"/>
                    </a:lnTo>
                    <a:lnTo>
                      <a:pt x="188" y="687"/>
                    </a:lnTo>
                    <a:lnTo>
                      <a:pt x="188" y="696"/>
                    </a:lnTo>
                    <a:lnTo>
                      <a:pt x="188" y="696"/>
                    </a:lnTo>
                    <a:lnTo>
                      <a:pt x="188" y="705"/>
                    </a:lnTo>
                    <a:lnTo>
                      <a:pt x="188" y="705"/>
                    </a:lnTo>
                    <a:lnTo>
                      <a:pt x="188" y="714"/>
                    </a:lnTo>
                    <a:lnTo>
                      <a:pt x="188" y="714"/>
                    </a:lnTo>
                    <a:lnTo>
                      <a:pt x="188" y="723"/>
                    </a:lnTo>
                    <a:lnTo>
                      <a:pt x="188" y="723"/>
                    </a:lnTo>
                    <a:lnTo>
                      <a:pt x="188" y="723"/>
                    </a:lnTo>
                    <a:lnTo>
                      <a:pt x="196" y="732"/>
                    </a:lnTo>
                    <a:lnTo>
                      <a:pt x="196" y="732"/>
                    </a:lnTo>
                    <a:lnTo>
                      <a:pt x="196" y="741"/>
                    </a:lnTo>
                    <a:lnTo>
                      <a:pt x="205" y="741"/>
                    </a:lnTo>
                    <a:lnTo>
                      <a:pt x="205" y="741"/>
                    </a:lnTo>
                    <a:lnTo>
                      <a:pt x="205" y="750"/>
                    </a:lnTo>
                    <a:lnTo>
                      <a:pt x="214" y="750"/>
                    </a:lnTo>
                    <a:lnTo>
                      <a:pt x="214" y="759"/>
                    </a:lnTo>
                    <a:lnTo>
                      <a:pt x="223" y="759"/>
                    </a:lnTo>
                    <a:lnTo>
                      <a:pt x="223" y="759"/>
                    </a:lnTo>
                    <a:lnTo>
                      <a:pt x="223" y="768"/>
                    </a:lnTo>
                    <a:lnTo>
                      <a:pt x="232" y="768"/>
                    </a:lnTo>
                    <a:lnTo>
                      <a:pt x="232" y="768"/>
                    </a:lnTo>
                    <a:lnTo>
                      <a:pt x="232" y="777"/>
                    </a:lnTo>
                    <a:lnTo>
                      <a:pt x="241" y="777"/>
                    </a:lnTo>
                    <a:lnTo>
                      <a:pt x="241" y="786"/>
                    </a:lnTo>
                    <a:lnTo>
                      <a:pt x="241" y="786"/>
                    </a:lnTo>
                    <a:lnTo>
                      <a:pt x="250" y="786"/>
                    </a:lnTo>
                    <a:lnTo>
                      <a:pt x="250" y="794"/>
                    </a:lnTo>
                    <a:lnTo>
                      <a:pt x="250" y="794"/>
                    </a:lnTo>
                    <a:lnTo>
                      <a:pt x="250" y="794"/>
                    </a:lnTo>
                    <a:lnTo>
                      <a:pt x="250" y="803"/>
                    </a:lnTo>
                    <a:lnTo>
                      <a:pt x="250" y="803"/>
                    </a:lnTo>
                    <a:lnTo>
                      <a:pt x="250" y="812"/>
                    </a:lnTo>
                    <a:lnTo>
                      <a:pt x="250" y="812"/>
                    </a:lnTo>
                    <a:lnTo>
                      <a:pt x="250" y="821"/>
                    </a:lnTo>
                    <a:lnTo>
                      <a:pt x="250" y="821"/>
                    </a:lnTo>
                    <a:lnTo>
                      <a:pt x="250" y="830"/>
                    </a:lnTo>
                    <a:lnTo>
                      <a:pt x="250" y="839"/>
                    </a:lnTo>
                    <a:lnTo>
                      <a:pt x="250" y="839"/>
                    </a:lnTo>
                    <a:lnTo>
                      <a:pt x="250" y="848"/>
                    </a:lnTo>
                    <a:lnTo>
                      <a:pt x="250" y="857"/>
                    </a:lnTo>
                    <a:lnTo>
                      <a:pt x="250" y="866"/>
                    </a:lnTo>
                    <a:lnTo>
                      <a:pt x="250" y="875"/>
                    </a:lnTo>
                    <a:lnTo>
                      <a:pt x="250" y="884"/>
                    </a:lnTo>
                    <a:lnTo>
                      <a:pt x="259" y="893"/>
                    </a:lnTo>
                    <a:lnTo>
                      <a:pt x="259" y="902"/>
                    </a:lnTo>
                    <a:lnTo>
                      <a:pt x="259" y="911"/>
                    </a:lnTo>
                    <a:lnTo>
                      <a:pt x="259" y="911"/>
                    </a:lnTo>
                    <a:lnTo>
                      <a:pt x="259" y="920"/>
                    </a:lnTo>
                    <a:lnTo>
                      <a:pt x="259" y="920"/>
                    </a:lnTo>
                    <a:lnTo>
                      <a:pt x="259" y="920"/>
                    </a:lnTo>
                    <a:lnTo>
                      <a:pt x="259" y="920"/>
                    </a:lnTo>
                    <a:lnTo>
                      <a:pt x="268" y="920"/>
                    </a:lnTo>
                    <a:lnTo>
                      <a:pt x="268" y="920"/>
                    </a:lnTo>
                    <a:lnTo>
                      <a:pt x="268" y="920"/>
                    </a:lnTo>
                    <a:lnTo>
                      <a:pt x="277" y="928"/>
                    </a:lnTo>
                    <a:lnTo>
                      <a:pt x="277" y="928"/>
                    </a:lnTo>
                    <a:lnTo>
                      <a:pt x="277" y="928"/>
                    </a:lnTo>
                    <a:lnTo>
                      <a:pt x="286" y="928"/>
                    </a:lnTo>
                    <a:lnTo>
                      <a:pt x="286" y="937"/>
                    </a:lnTo>
                    <a:lnTo>
                      <a:pt x="295" y="937"/>
                    </a:lnTo>
                    <a:lnTo>
                      <a:pt x="295" y="937"/>
                    </a:lnTo>
                    <a:lnTo>
                      <a:pt x="304" y="937"/>
                    </a:lnTo>
                    <a:lnTo>
                      <a:pt x="313" y="937"/>
                    </a:lnTo>
                    <a:lnTo>
                      <a:pt x="313" y="946"/>
                    </a:lnTo>
                    <a:lnTo>
                      <a:pt x="322" y="946"/>
                    </a:lnTo>
                    <a:lnTo>
                      <a:pt x="330" y="946"/>
                    </a:lnTo>
                    <a:lnTo>
                      <a:pt x="330" y="946"/>
                    </a:lnTo>
                    <a:lnTo>
                      <a:pt x="339" y="946"/>
                    </a:lnTo>
                    <a:lnTo>
                      <a:pt x="339" y="946"/>
                    </a:lnTo>
                    <a:lnTo>
                      <a:pt x="348" y="946"/>
                    </a:lnTo>
                    <a:lnTo>
                      <a:pt x="357" y="946"/>
                    </a:lnTo>
                    <a:lnTo>
                      <a:pt x="357" y="946"/>
                    </a:lnTo>
                    <a:lnTo>
                      <a:pt x="366" y="946"/>
                    </a:lnTo>
                    <a:lnTo>
                      <a:pt x="366" y="946"/>
                    </a:lnTo>
                    <a:lnTo>
                      <a:pt x="375" y="946"/>
                    </a:lnTo>
                    <a:lnTo>
                      <a:pt x="375" y="946"/>
                    </a:lnTo>
                    <a:lnTo>
                      <a:pt x="375" y="946"/>
                    </a:lnTo>
                    <a:lnTo>
                      <a:pt x="384" y="946"/>
                    </a:lnTo>
                    <a:lnTo>
                      <a:pt x="384" y="946"/>
                    </a:lnTo>
                    <a:lnTo>
                      <a:pt x="393" y="955"/>
                    </a:lnTo>
                    <a:lnTo>
                      <a:pt x="393" y="955"/>
                    </a:lnTo>
                    <a:lnTo>
                      <a:pt x="393" y="955"/>
                    </a:lnTo>
                    <a:lnTo>
                      <a:pt x="402" y="955"/>
                    </a:lnTo>
                    <a:lnTo>
                      <a:pt x="402" y="964"/>
                    </a:lnTo>
                    <a:lnTo>
                      <a:pt x="402" y="964"/>
                    </a:lnTo>
                    <a:lnTo>
                      <a:pt x="411" y="964"/>
                    </a:lnTo>
                    <a:lnTo>
                      <a:pt x="411" y="973"/>
                    </a:lnTo>
                    <a:lnTo>
                      <a:pt x="411" y="973"/>
                    </a:lnTo>
                    <a:lnTo>
                      <a:pt x="420" y="973"/>
                    </a:lnTo>
                    <a:lnTo>
                      <a:pt x="420" y="973"/>
                    </a:lnTo>
                    <a:lnTo>
                      <a:pt x="420" y="973"/>
                    </a:lnTo>
                    <a:lnTo>
                      <a:pt x="429" y="982"/>
                    </a:lnTo>
                    <a:lnTo>
                      <a:pt x="429" y="982"/>
                    </a:lnTo>
                    <a:lnTo>
                      <a:pt x="429" y="982"/>
                    </a:lnTo>
                    <a:lnTo>
                      <a:pt x="438" y="982"/>
                    </a:lnTo>
                    <a:lnTo>
                      <a:pt x="438" y="991"/>
                    </a:lnTo>
                    <a:lnTo>
                      <a:pt x="438" y="991"/>
                    </a:lnTo>
                    <a:lnTo>
                      <a:pt x="438" y="991"/>
                    </a:lnTo>
                    <a:lnTo>
                      <a:pt x="447" y="991"/>
                    </a:lnTo>
                    <a:lnTo>
                      <a:pt x="447" y="1000"/>
                    </a:lnTo>
                    <a:lnTo>
                      <a:pt x="447" y="1000"/>
                    </a:lnTo>
                    <a:lnTo>
                      <a:pt x="447" y="1000"/>
                    </a:lnTo>
                    <a:lnTo>
                      <a:pt x="455" y="1000"/>
                    </a:lnTo>
                    <a:lnTo>
                      <a:pt x="455" y="1000"/>
                    </a:lnTo>
                    <a:lnTo>
                      <a:pt x="455" y="1000"/>
                    </a:lnTo>
                    <a:lnTo>
                      <a:pt x="455" y="991"/>
                    </a:lnTo>
                    <a:lnTo>
                      <a:pt x="455" y="991"/>
                    </a:lnTo>
                    <a:lnTo>
                      <a:pt x="455" y="991"/>
                    </a:lnTo>
                    <a:lnTo>
                      <a:pt x="455" y="991"/>
                    </a:lnTo>
                    <a:lnTo>
                      <a:pt x="455" y="982"/>
                    </a:lnTo>
                    <a:lnTo>
                      <a:pt x="455" y="982"/>
                    </a:lnTo>
                    <a:lnTo>
                      <a:pt x="455" y="982"/>
                    </a:lnTo>
                    <a:lnTo>
                      <a:pt x="455" y="982"/>
                    </a:lnTo>
                    <a:lnTo>
                      <a:pt x="464" y="982"/>
                    </a:lnTo>
                    <a:lnTo>
                      <a:pt x="464" y="982"/>
                    </a:lnTo>
                    <a:lnTo>
                      <a:pt x="464" y="982"/>
                    </a:lnTo>
                    <a:lnTo>
                      <a:pt x="473" y="982"/>
                    </a:lnTo>
                    <a:lnTo>
                      <a:pt x="473" y="982"/>
                    </a:lnTo>
                    <a:lnTo>
                      <a:pt x="473" y="982"/>
                    </a:lnTo>
                    <a:lnTo>
                      <a:pt x="482" y="982"/>
                    </a:lnTo>
                    <a:lnTo>
                      <a:pt x="482" y="982"/>
                    </a:lnTo>
                    <a:lnTo>
                      <a:pt x="491" y="982"/>
                    </a:lnTo>
                    <a:lnTo>
                      <a:pt x="491" y="973"/>
                    </a:lnTo>
                    <a:lnTo>
                      <a:pt x="491" y="973"/>
                    </a:lnTo>
                    <a:lnTo>
                      <a:pt x="500" y="982"/>
                    </a:lnTo>
                    <a:lnTo>
                      <a:pt x="500" y="982"/>
                    </a:lnTo>
                    <a:lnTo>
                      <a:pt x="500" y="982"/>
                    </a:lnTo>
                    <a:lnTo>
                      <a:pt x="500" y="973"/>
                    </a:lnTo>
                    <a:lnTo>
                      <a:pt x="509" y="973"/>
                    </a:lnTo>
                    <a:lnTo>
                      <a:pt x="509" y="973"/>
                    </a:lnTo>
                    <a:lnTo>
                      <a:pt x="518" y="964"/>
                    </a:lnTo>
                    <a:lnTo>
                      <a:pt x="527" y="964"/>
                    </a:lnTo>
                    <a:lnTo>
                      <a:pt x="527" y="964"/>
                    </a:lnTo>
                    <a:lnTo>
                      <a:pt x="527" y="964"/>
                    </a:lnTo>
                    <a:lnTo>
                      <a:pt x="545" y="928"/>
                    </a:lnTo>
                    <a:lnTo>
                      <a:pt x="545" y="875"/>
                    </a:lnTo>
                    <a:lnTo>
                      <a:pt x="536" y="848"/>
                    </a:lnTo>
                    <a:lnTo>
                      <a:pt x="527" y="830"/>
                    </a:lnTo>
                    <a:lnTo>
                      <a:pt x="509" y="830"/>
                    </a:lnTo>
                    <a:lnTo>
                      <a:pt x="491" y="821"/>
                    </a:lnTo>
                    <a:lnTo>
                      <a:pt x="464" y="812"/>
                    </a:lnTo>
                    <a:lnTo>
                      <a:pt x="455" y="777"/>
                    </a:lnTo>
                    <a:lnTo>
                      <a:pt x="464" y="741"/>
                    </a:lnTo>
                    <a:lnTo>
                      <a:pt x="473" y="723"/>
                    </a:lnTo>
                    <a:lnTo>
                      <a:pt x="500" y="705"/>
                    </a:lnTo>
                    <a:lnTo>
                      <a:pt x="518" y="687"/>
                    </a:lnTo>
                    <a:lnTo>
                      <a:pt x="518" y="678"/>
                    </a:lnTo>
                    <a:lnTo>
                      <a:pt x="518" y="661"/>
                    </a:lnTo>
                    <a:lnTo>
                      <a:pt x="509" y="643"/>
                    </a:lnTo>
                    <a:lnTo>
                      <a:pt x="518" y="634"/>
                    </a:lnTo>
                    <a:lnTo>
                      <a:pt x="527" y="625"/>
                    </a:lnTo>
                    <a:lnTo>
                      <a:pt x="545" y="589"/>
                    </a:lnTo>
                    <a:lnTo>
                      <a:pt x="554" y="571"/>
                    </a:lnTo>
                    <a:lnTo>
                      <a:pt x="572" y="562"/>
                    </a:lnTo>
                    <a:lnTo>
                      <a:pt x="563" y="536"/>
                    </a:lnTo>
                    <a:lnTo>
                      <a:pt x="581" y="536"/>
                    </a:lnTo>
                    <a:lnTo>
                      <a:pt x="581" y="509"/>
                    </a:lnTo>
                    <a:lnTo>
                      <a:pt x="589" y="482"/>
                    </a:lnTo>
                    <a:lnTo>
                      <a:pt x="607" y="455"/>
                    </a:lnTo>
                    <a:lnTo>
                      <a:pt x="607" y="411"/>
                    </a:lnTo>
                    <a:lnTo>
                      <a:pt x="607" y="384"/>
                    </a:lnTo>
                    <a:lnTo>
                      <a:pt x="616" y="348"/>
                    </a:lnTo>
                    <a:lnTo>
                      <a:pt x="616" y="330"/>
                    </a:lnTo>
                    <a:lnTo>
                      <a:pt x="634" y="312"/>
                    </a:lnTo>
                    <a:lnTo>
                      <a:pt x="661" y="303"/>
                    </a:lnTo>
                    <a:lnTo>
                      <a:pt x="688" y="286"/>
                    </a:lnTo>
                    <a:lnTo>
                      <a:pt x="697" y="277"/>
                    </a:lnTo>
                    <a:lnTo>
                      <a:pt x="706" y="259"/>
                    </a:lnTo>
                    <a:lnTo>
                      <a:pt x="723" y="268"/>
                    </a:lnTo>
                    <a:lnTo>
                      <a:pt x="750" y="277"/>
                    </a:lnTo>
                    <a:lnTo>
                      <a:pt x="768" y="277"/>
                    </a:lnTo>
                    <a:lnTo>
                      <a:pt x="777" y="268"/>
                    </a:lnTo>
                    <a:lnTo>
                      <a:pt x="777" y="250"/>
                    </a:lnTo>
                    <a:lnTo>
                      <a:pt x="795" y="250"/>
                    </a:lnTo>
                    <a:lnTo>
                      <a:pt x="786" y="223"/>
                    </a:lnTo>
                    <a:lnTo>
                      <a:pt x="777" y="205"/>
                    </a:lnTo>
                    <a:lnTo>
                      <a:pt x="777" y="187"/>
                    </a:lnTo>
                    <a:lnTo>
                      <a:pt x="786" y="178"/>
                    </a:lnTo>
                    <a:lnTo>
                      <a:pt x="795" y="169"/>
                    </a:lnTo>
                    <a:lnTo>
                      <a:pt x="795" y="169"/>
                    </a:lnTo>
                    <a:lnTo>
                      <a:pt x="786" y="160"/>
                    </a:lnTo>
                    <a:lnTo>
                      <a:pt x="777" y="152"/>
                    </a:lnTo>
                    <a:lnTo>
                      <a:pt x="768" y="143"/>
                    </a:lnTo>
                    <a:lnTo>
                      <a:pt x="750" y="143"/>
                    </a:lnTo>
                    <a:lnTo>
                      <a:pt x="741" y="143"/>
                    </a:lnTo>
                    <a:lnTo>
                      <a:pt x="741" y="125"/>
                    </a:lnTo>
                    <a:lnTo>
                      <a:pt x="741" y="107"/>
                    </a:lnTo>
                    <a:lnTo>
                      <a:pt x="732" y="98"/>
                    </a:lnTo>
                    <a:lnTo>
                      <a:pt x="723" y="98"/>
                    </a:lnTo>
                    <a:lnTo>
                      <a:pt x="723" y="80"/>
                    </a:lnTo>
                    <a:lnTo>
                      <a:pt x="715" y="71"/>
                    </a:lnTo>
                    <a:lnTo>
                      <a:pt x="706" y="62"/>
                    </a:lnTo>
                    <a:lnTo>
                      <a:pt x="697" y="53"/>
                    </a:lnTo>
                    <a:lnTo>
                      <a:pt x="688" y="35"/>
                    </a:lnTo>
                    <a:lnTo>
                      <a:pt x="679" y="44"/>
                    </a:lnTo>
                    <a:lnTo>
                      <a:pt x="670" y="27"/>
                    </a:lnTo>
                    <a:lnTo>
                      <a:pt x="679" y="27"/>
                    </a:lnTo>
                    <a:lnTo>
                      <a:pt x="670" y="9"/>
                    </a:lnTo>
                    <a:lnTo>
                      <a:pt x="661" y="9"/>
                    </a:lnTo>
                    <a:lnTo>
                      <a:pt x="652" y="0"/>
                    </a:lnTo>
                    <a:lnTo>
                      <a:pt x="634" y="9"/>
                    </a:lnTo>
                    <a:lnTo>
                      <a:pt x="625" y="9"/>
                    </a:lnTo>
                    <a:lnTo>
                      <a:pt x="616" y="18"/>
                    </a:lnTo>
                    <a:lnTo>
                      <a:pt x="607" y="9"/>
                    </a:lnTo>
                    <a:lnTo>
                      <a:pt x="589" y="18"/>
                    </a:lnTo>
                    <a:lnTo>
                      <a:pt x="581" y="27"/>
                    </a:lnTo>
                    <a:lnTo>
                      <a:pt x="572" y="53"/>
                    </a:lnTo>
                    <a:lnTo>
                      <a:pt x="554" y="71"/>
                    </a:lnTo>
                    <a:lnTo>
                      <a:pt x="536" y="89"/>
                    </a:lnTo>
                    <a:lnTo>
                      <a:pt x="518" y="98"/>
                    </a:lnTo>
                    <a:lnTo>
                      <a:pt x="500" y="89"/>
                    </a:lnTo>
                    <a:lnTo>
                      <a:pt x="491" y="80"/>
                    </a:lnTo>
                    <a:lnTo>
                      <a:pt x="482" y="71"/>
                    </a:lnTo>
                    <a:lnTo>
                      <a:pt x="473" y="53"/>
                    </a:lnTo>
                    <a:lnTo>
                      <a:pt x="464" y="53"/>
                    </a:lnTo>
                    <a:lnTo>
                      <a:pt x="447" y="62"/>
                    </a:lnTo>
                    <a:lnTo>
                      <a:pt x="438" y="71"/>
                    </a:lnTo>
                    <a:lnTo>
                      <a:pt x="420" y="71"/>
                    </a:lnTo>
                    <a:lnTo>
                      <a:pt x="393" y="62"/>
                    </a:lnTo>
                    <a:lnTo>
                      <a:pt x="393" y="53"/>
                    </a:lnTo>
                    <a:lnTo>
                      <a:pt x="384" y="27"/>
                    </a:lnTo>
                    <a:lnTo>
                      <a:pt x="375" y="35"/>
                    </a:lnTo>
                    <a:lnTo>
                      <a:pt x="366" y="53"/>
                    </a:lnTo>
                    <a:lnTo>
                      <a:pt x="357" y="62"/>
                    </a:lnTo>
                    <a:lnTo>
                      <a:pt x="330" y="71"/>
                    </a:lnTo>
                    <a:lnTo>
                      <a:pt x="322" y="71"/>
                    </a:lnTo>
                    <a:lnTo>
                      <a:pt x="322" y="89"/>
                    </a:lnTo>
                    <a:lnTo>
                      <a:pt x="313" y="98"/>
                    </a:lnTo>
                    <a:lnTo>
                      <a:pt x="313" y="116"/>
                    </a:lnTo>
                    <a:lnTo>
                      <a:pt x="304" y="116"/>
                    </a:lnTo>
                    <a:lnTo>
                      <a:pt x="295" y="107"/>
                    </a:lnTo>
                    <a:lnTo>
                      <a:pt x="277" y="98"/>
                    </a:lnTo>
                    <a:lnTo>
                      <a:pt x="259" y="98"/>
                    </a:lnTo>
                    <a:lnTo>
                      <a:pt x="241" y="98"/>
                    </a:lnTo>
                    <a:lnTo>
                      <a:pt x="223" y="107"/>
                    </a:lnTo>
                    <a:lnTo>
                      <a:pt x="214" y="125"/>
                    </a:lnTo>
                    <a:lnTo>
                      <a:pt x="188" y="116"/>
                    </a:lnTo>
                    <a:lnTo>
                      <a:pt x="179" y="116"/>
                    </a:lnTo>
                    <a:lnTo>
                      <a:pt x="170" y="107"/>
                    </a:lnTo>
                    <a:lnTo>
                      <a:pt x="161" y="107"/>
                    </a:lnTo>
                    <a:lnTo>
                      <a:pt x="152" y="116"/>
                    </a:lnTo>
                    <a:lnTo>
                      <a:pt x="152" y="134"/>
                    </a:lnTo>
                    <a:lnTo>
                      <a:pt x="143" y="143"/>
                    </a:lnTo>
                    <a:lnTo>
                      <a:pt x="134" y="152"/>
                    </a:lnTo>
                    <a:lnTo>
                      <a:pt x="125" y="152"/>
                    </a:lnTo>
                    <a:lnTo>
                      <a:pt x="125" y="169"/>
                    </a:lnTo>
                    <a:lnTo>
                      <a:pt x="134" y="196"/>
                    </a:lnTo>
                    <a:lnTo>
                      <a:pt x="143" y="214"/>
                    </a:lnTo>
                    <a:lnTo>
                      <a:pt x="152" y="232"/>
                    </a:lnTo>
                    <a:lnTo>
                      <a:pt x="152" y="259"/>
                    </a:lnTo>
                    <a:lnTo>
                      <a:pt x="152" y="277"/>
                    </a:lnTo>
                    <a:lnTo>
                      <a:pt x="152" y="294"/>
                    </a:lnTo>
                    <a:lnTo>
                      <a:pt x="152" y="312"/>
                    </a:lnTo>
                    <a:lnTo>
                      <a:pt x="152" y="330"/>
                    </a:lnTo>
                    <a:lnTo>
                      <a:pt x="152" y="339"/>
                    </a:lnTo>
                    <a:lnTo>
                      <a:pt x="161" y="339"/>
                    </a:lnTo>
                    <a:lnTo>
                      <a:pt x="161" y="339"/>
                    </a:lnTo>
                    <a:lnTo>
                      <a:pt x="170" y="339"/>
                    </a:lnTo>
                    <a:lnTo>
                      <a:pt x="179" y="348"/>
                    </a:lnTo>
                    <a:lnTo>
                      <a:pt x="170" y="366"/>
                    </a:lnTo>
                    <a:lnTo>
                      <a:pt x="179" y="366"/>
                    </a:lnTo>
                    <a:lnTo>
                      <a:pt x="188" y="366"/>
                    </a:lnTo>
                    <a:lnTo>
                      <a:pt x="196" y="375"/>
                    </a:lnTo>
                    <a:lnTo>
                      <a:pt x="196" y="384"/>
                    </a:lnTo>
                    <a:lnTo>
                      <a:pt x="179" y="402"/>
                    </a:lnTo>
                    <a:lnTo>
                      <a:pt x="161" y="419"/>
                    </a:lnTo>
                    <a:lnTo>
                      <a:pt x="143" y="419"/>
                    </a:lnTo>
                    <a:lnTo>
                      <a:pt x="143" y="419"/>
                    </a:lnTo>
                    <a:lnTo>
                      <a:pt x="134" y="419"/>
                    </a:lnTo>
                    <a:lnTo>
                      <a:pt x="134" y="419"/>
                    </a:lnTo>
                    <a:lnTo>
                      <a:pt x="134" y="419"/>
                    </a:lnTo>
                    <a:lnTo>
                      <a:pt x="125" y="419"/>
                    </a:lnTo>
                    <a:lnTo>
                      <a:pt x="125" y="419"/>
                    </a:lnTo>
                    <a:lnTo>
                      <a:pt x="125" y="419"/>
                    </a:lnTo>
                    <a:lnTo>
                      <a:pt x="116" y="419"/>
                    </a:lnTo>
                    <a:lnTo>
                      <a:pt x="116" y="419"/>
                    </a:lnTo>
                    <a:lnTo>
                      <a:pt x="116" y="419"/>
                    </a:lnTo>
                    <a:lnTo>
                      <a:pt x="107" y="419"/>
                    </a:lnTo>
                    <a:lnTo>
                      <a:pt x="107" y="419"/>
                    </a:lnTo>
                    <a:lnTo>
                      <a:pt x="98" y="411"/>
                    </a:lnTo>
                    <a:lnTo>
                      <a:pt x="98" y="411"/>
                    </a:lnTo>
                    <a:lnTo>
                      <a:pt x="98" y="411"/>
                    </a:lnTo>
                    <a:lnTo>
                      <a:pt x="98" y="411"/>
                    </a:lnTo>
                    <a:lnTo>
                      <a:pt x="80" y="402"/>
                    </a:lnTo>
                    <a:lnTo>
                      <a:pt x="71" y="402"/>
                    </a:lnTo>
                    <a:lnTo>
                      <a:pt x="54" y="393"/>
                    </a:lnTo>
                    <a:lnTo>
                      <a:pt x="45" y="402"/>
                    </a:lnTo>
                    <a:lnTo>
                      <a:pt x="36" y="411"/>
                    </a:lnTo>
                    <a:lnTo>
                      <a:pt x="27" y="411"/>
                    </a:lnTo>
                    <a:lnTo>
                      <a:pt x="9" y="411"/>
                    </a:lnTo>
                    <a:lnTo>
                      <a:pt x="9" y="428"/>
                    </a:lnTo>
                    <a:lnTo>
                      <a:pt x="18" y="428"/>
                    </a:lnTo>
                    <a:lnTo>
                      <a:pt x="18" y="437"/>
                    </a:lnTo>
                    <a:lnTo>
                      <a:pt x="27" y="446"/>
                    </a:lnTo>
                    <a:lnTo>
                      <a:pt x="27" y="473"/>
                    </a:lnTo>
                    <a:lnTo>
                      <a:pt x="27" y="491"/>
                    </a:lnTo>
                    <a:lnTo>
                      <a:pt x="27" y="509"/>
                    </a:lnTo>
                    <a:lnTo>
                      <a:pt x="27" y="527"/>
                    </a:lnTo>
                    <a:lnTo>
                      <a:pt x="27" y="536"/>
                    </a:lnTo>
                    <a:lnTo>
                      <a:pt x="18" y="544"/>
                    </a:lnTo>
                    <a:lnTo>
                      <a:pt x="9" y="553"/>
                    </a:lnTo>
                    <a:lnTo>
                      <a:pt x="9" y="562"/>
                    </a:lnTo>
                    <a:lnTo>
                      <a:pt x="0" y="562"/>
                    </a:lnTo>
                    <a:lnTo>
                      <a:pt x="0" y="571"/>
                    </a:lnTo>
                    <a:close/>
                  </a:path>
                </a:pathLst>
              </a:custGeom>
              <a:solidFill>
                <a:schemeClr val="accent6">
                  <a:lumMod val="75000"/>
                </a:schemeClr>
              </a:solidFill>
              <a:ln w="21590" cmpd="sng">
                <a:solidFill>
                  <a:srgbClr val="FFFFFF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43" name="Freeform 66">
                <a:extLst>
                  <a:ext uri="{FF2B5EF4-FFF2-40B4-BE49-F238E27FC236}">
                    <a16:creationId xmlns:a16="http://schemas.microsoft.com/office/drawing/2014/main" id="{00000000-0008-0000-0C00-00002B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345" y="8999"/>
                <a:ext cx="1229" cy="2269"/>
              </a:xfrm>
              <a:custGeom>
                <a:avLst/>
                <a:gdLst>
                  <a:gd name="T0" fmla="*/ 509 w 553"/>
                  <a:gd name="T1" fmla="*/ 581 h 956"/>
                  <a:gd name="T2" fmla="*/ 553 w 553"/>
                  <a:gd name="T3" fmla="*/ 679 h 956"/>
                  <a:gd name="T4" fmla="*/ 473 w 553"/>
                  <a:gd name="T5" fmla="*/ 723 h 956"/>
                  <a:gd name="T6" fmla="*/ 402 w 553"/>
                  <a:gd name="T7" fmla="*/ 706 h 956"/>
                  <a:gd name="T8" fmla="*/ 384 w 553"/>
                  <a:gd name="T9" fmla="*/ 840 h 956"/>
                  <a:gd name="T10" fmla="*/ 348 w 553"/>
                  <a:gd name="T11" fmla="*/ 875 h 956"/>
                  <a:gd name="T12" fmla="*/ 339 w 553"/>
                  <a:gd name="T13" fmla="*/ 893 h 956"/>
                  <a:gd name="T14" fmla="*/ 303 w 553"/>
                  <a:gd name="T15" fmla="*/ 902 h 956"/>
                  <a:gd name="T16" fmla="*/ 285 w 553"/>
                  <a:gd name="T17" fmla="*/ 929 h 956"/>
                  <a:gd name="T18" fmla="*/ 285 w 553"/>
                  <a:gd name="T19" fmla="*/ 956 h 956"/>
                  <a:gd name="T20" fmla="*/ 268 w 553"/>
                  <a:gd name="T21" fmla="*/ 920 h 956"/>
                  <a:gd name="T22" fmla="*/ 259 w 553"/>
                  <a:gd name="T23" fmla="*/ 893 h 956"/>
                  <a:gd name="T24" fmla="*/ 241 w 553"/>
                  <a:gd name="T25" fmla="*/ 884 h 956"/>
                  <a:gd name="T26" fmla="*/ 232 w 553"/>
                  <a:gd name="T27" fmla="*/ 866 h 956"/>
                  <a:gd name="T28" fmla="*/ 205 w 553"/>
                  <a:gd name="T29" fmla="*/ 831 h 956"/>
                  <a:gd name="T30" fmla="*/ 178 w 553"/>
                  <a:gd name="T31" fmla="*/ 831 h 956"/>
                  <a:gd name="T32" fmla="*/ 152 w 553"/>
                  <a:gd name="T33" fmla="*/ 840 h 956"/>
                  <a:gd name="T34" fmla="*/ 125 w 553"/>
                  <a:gd name="T35" fmla="*/ 831 h 956"/>
                  <a:gd name="T36" fmla="*/ 116 w 553"/>
                  <a:gd name="T37" fmla="*/ 804 h 956"/>
                  <a:gd name="T38" fmla="*/ 98 w 553"/>
                  <a:gd name="T39" fmla="*/ 777 h 956"/>
                  <a:gd name="T40" fmla="*/ 62 w 553"/>
                  <a:gd name="T41" fmla="*/ 777 h 956"/>
                  <a:gd name="T42" fmla="*/ 35 w 553"/>
                  <a:gd name="T43" fmla="*/ 795 h 956"/>
                  <a:gd name="T44" fmla="*/ 0 w 553"/>
                  <a:gd name="T45" fmla="*/ 804 h 956"/>
                  <a:gd name="T46" fmla="*/ 0 w 553"/>
                  <a:gd name="T47" fmla="*/ 795 h 956"/>
                  <a:gd name="T48" fmla="*/ 18 w 553"/>
                  <a:gd name="T49" fmla="*/ 777 h 956"/>
                  <a:gd name="T50" fmla="*/ 26 w 553"/>
                  <a:gd name="T51" fmla="*/ 759 h 956"/>
                  <a:gd name="T52" fmla="*/ 35 w 553"/>
                  <a:gd name="T53" fmla="*/ 723 h 956"/>
                  <a:gd name="T54" fmla="*/ 53 w 553"/>
                  <a:gd name="T55" fmla="*/ 697 h 956"/>
                  <a:gd name="T56" fmla="*/ 53 w 553"/>
                  <a:gd name="T57" fmla="*/ 670 h 956"/>
                  <a:gd name="T58" fmla="*/ 71 w 553"/>
                  <a:gd name="T59" fmla="*/ 652 h 956"/>
                  <a:gd name="T60" fmla="*/ 71 w 553"/>
                  <a:gd name="T61" fmla="*/ 634 h 956"/>
                  <a:gd name="T62" fmla="*/ 53 w 553"/>
                  <a:gd name="T63" fmla="*/ 607 h 956"/>
                  <a:gd name="T64" fmla="*/ 44 w 553"/>
                  <a:gd name="T65" fmla="*/ 563 h 956"/>
                  <a:gd name="T66" fmla="*/ 53 w 553"/>
                  <a:gd name="T67" fmla="*/ 527 h 956"/>
                  <a:gd name="T68" fmla="*/ 53 w 553"/>
                  <a:gd name="T69" fmla="*/ 491 h 956"/>
                  <a:gd name="T70" fmla="*/ 71 w 553"/>
                  <a:gd name="T71" fmla="*/ 464 h 956"/>
                  <a:gd name="T72" fmla="*/ 80 w 553"/>
                  <a:gd name="T73" fmla="*/ 438 h 956"/>
                  <a:gd name="T74" fmla="*/ 80 w 553"/>
                  <a:gd name="T75" fmla="*/ 402 h 956"/>
                  <a:gd name="T76" fmla="*/ 53 w 553"/>
                  <a:gd name="T77" fmla="*/ 393 h 956"/>
                  <a:gd name="T78" fmla="*/ 26 w 553"/>
                  <a:gd name="T79" fmla="*/ 393 h 956"/>
                  <a:gd name="T80" fmla="*/ 18 w 553"/>
                  <a:gd name="T81" fmla="*/ 384 h 956"/>
                  <a:gd name="T82" fmla="*/ 26 w 553"/>
                  <a:gd name="T83" fmla="*/ 375 h 956"/>
                  <a:gd name="T84" fmla="*/ 35 w 553"/>
                  <a:gd name="T85" fmla="*/ 348 h 956"/>
                  <a:gd name="T86" fmla="*/ 26 w 553"/>
                  <a:gd name="T87" fmla="*/ 313 h 956"/>
                  <a:gd name="T88" fmla="*/ 35 w 553"/>
                  <a:gd name="T89" fmla="*/ 268 h 956"/>
                  <a:gd name="T90" fmla="*/ 53 w 553"/>
                  <a:gd name="T91" fmla="*/ 268 h 956"/>
                  <a:gd name="T92" fmla="*/ 71 w 553"/>
                  <a:gd name="T93" fmla="*/ 268 h 956"/>
                  <a:gd name="T94" fmla="*/ 80 w 553"/>
                  <a:gd name="T95" fmla="*/ 250 h 956"/>
                  <a:gd name="T96" fmla="*/ 80 w 553"/>
                  <a:gd name="T97" fmla="*/ 206 h 956"/>
                  <a:gd name="T98" fmla="*/ 80 w 553"/>
                  <a:gd name="T99" fmla="*/ 152 h 956"/>
                  <a:gd name="T100" fmla="*/ 98 w 553"/>
                  <a:gd name="T101" fmla="*/ 134 h 956"/>
                  <a:gd name="T102" fmla="*/ 116 w 553"/>
                  <a:gd name="T103" fmla="*/ 125 h 956"/>
                  <a:gd name="T104" fmla="*/ 116 w 553"/>
                  <a:gd name="T105" fmla="*/ 107 h 956"/>
                  <a:gd name="T106" fmla="*/ 107 w 553"/>
                  <a:gd name="T107" fmla="*/ 72 h 956"/>
                  <a:gd name="T108" fmla="*/ 89 w 553"/>
                  <a:gd name="T109" fmla="*/ 18 h 956"/>
                  <a:gd name="T110" fmla="*/ 232 w 553"/>
                  <a:gd name="T111" fmla="*/ 72 h 956"/>
                  <a:gd name="T112" fmla="*/ 321 w 553"/>
                  <a:gd name="T113" fmla="*/ 89 h 956"/>
                  <a:gd name="T114" fmla="*/ 384 w 553"/>
                  <a:gd name="T115" fmla="*/ 81 h 956"/>
                  <a:gd name="T116" fmla="*/ 446 w 553"/>
                  <a:gd name="T117" fmla="*/ 170 h 956"/>
                  <a:gd name="T118" fmla="*/ 402 w 553"/>
                  <a:gd name="T119" fmla="*/ 366 h 95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</a:cxnLst>
                <a:rect l="0" t="0" r="r" b="b"/>
                <a:pathLst>
                  <a:path w="553" h="956">
                    <a:moveTo>
                      <a:pt x="518" y="411"/>
                    </a:moveTo>
                    <a:lnTo>
                      <a:pt x="509" y="420"/>
                    </a:lnTo>
                    <a:lnTo>
                      <a:pt x="509" y="438"/>
                    </a:lnTo>
                    <a:lnTo>
                      <a:pt x="500" y="447"/>
                    </a:lnTo>
                    <a:lnTo>
                      <a:pt x="491" y="456"/>
                    </a:lnTo>
                    <a:lnTo>
                      <a:pt x="482" y="456"/>
                    </a:lnTo>
                    <a:lnTo>
                      <a:pt x="482" y="473"/>
                    </a:lnTo>
                    <a:lnTo>
                      <a:pt x="491" y="500"/>
                    </a:lnTo>
                    <a:lnTo>
                      <a:pt x="500" y="518"/>
                    </a:lnTo>
                    <a:lnTo>
                      <a:pt x="509" y="536"/>
                    </a:lnTo>
                    <a:lnTo>
                      <a:pt x="509" y="563"/>
                    </a:lnTo>
                    <a:lnTo>
                      <a:pt x="509" y="581"/>
                    </a:lnTo>
                    <a:lnTo>
                      <a:pt x="509" y="598"/>
                    </a:lnTo>
                    <a:lnTo>
                      <a:pt x="509" y="616"/>
                    </a:lnTo>
                    <a:lnTo>
                      <a:pt x="509" y="634"/>
                    </a:lnTo>
                    <a:lnTo>
                      <a:pt x="509" y="643"/>
                    </a:lnTo>
                    <a:lnTo>
                      <a:pt x="518" y="643"/>
                    </a:lnTo>
                    <a:lnTo>
                      <a:pt x="518" y="643"/>
                    </a:lnTo>
                    <a:lnTo>
                      <a:pt x="527" y="643"/>
                    </a:lnTo>
                    <a:lnTo>
                      <a:pt x="536" y="652"/>
                    </a:lnTo>
                    <a:lnTo>
                      <a:pt x="527" y="670"/>
                    </a:lnTo>
                    <a:lnTo>
                      <a:pt x="536" y="670"/>
                    </a:lnTo>
                    <a:lnTo>
                      <a:pt x="545" y="670"/>
                    </a:lnTo>
                    <a:lnTo>
                      <a:pt x="553" y="679"/>
                    </a:lnTo>
                    <a:lnTo>
                      <a:pt x="553" y="688"/>
                    </a:lnTo>
                    <a:lnTo>
                      <a:pt x="536" y="706"/>
                    </a:lnTo>
                    <a:lnTo>
                      <a:pt x="518" y="723"/>
                    </a:lnTo>
                    <a:lnTo>
                      <a:pt x="500" y="723"/>
                    </a:lnTo>
                    <a:lnTo>
                      <a:pt x="500" y="723"/>
                    </a:lnTo>
                    <a:lnTo>
                      <a:pt x="491" y="723"/>
                    </a:lnTo>
                    <a:lnTo>
                      <a:pt x="491" y="723"/>
                    </a:lnTo>
                    <a:lnTo>
                      <a:pt x="491" y="723"/>
                    </a:lnTo>
                    <a:lnTo>
                      <a:pt x="482" y="723"/>
                    </a:lnTo>
                    <a:lnTo>
                      <a:pt x="482" y="723"/>
                    </a:lnTo>
                    <a:lnTo>
                      <a:pt x="482" y="723"/>
                    </a:lnTo>
                    <a:lnTo>
                      <a:pt x="473" y="723"/>
                    </a:lnTo>
                    <a:lnTo>
                      <a:pt x="473" y="723"/>
                    </a:lnTo>
                    <a:lnTo>
                      <a:pt x="473" y="723"/>
                    </a:lnTo>
                    <a:lnTo>
                      <a:pt x="464" y="723"/>
                    </a:lnTo>
                    <a:lnTo>
                      <a:pt x="464" y="723"/>
                    </a:lnTo>
                    <a:lnTo>
                      <a:pt x="455" y="715"/>
                    </a:lnTo>
                    <a:lnTo>
                      <a:pt x="455" y="715"/>
                    </a:lnTo>
                    <a:lnTo>
                      <a:pt x="455" y="715"/>
                    </a:lnTo>
                    <a:lnTo>
                      <a:pt x="455" y="715"/>
                    </a:lnTo>
                    <a:lnTo>
                      <a:pt x="437" y="706"/>
                    </a:lnTo>
                    <a:lnTo>
                      <a:pt x="428" y="706"/>
                    </a:lnTo>
                    <a:lnTo>
                      <a:pt x="411" y="697"/>
                    </a:lnTo>
                    <a:lnTo>
                      <a:pt x="402" y="706"/>
                    </a:lnTo>
                    <a:lnTo>
                      <a:pt x="393" y="715"/>
                    </a:lnTo>
                    <a:lnTo>
                      <a:pt x="384" y="715"/>
                    </a:lnTo>
                    <a:lnTo>
                      <a:pt x="366" y="715"/>
                    </a:lnTo>
                    <a:lnTo>
                      <a:pt x="366" y="732"/>
                    </a:lnTo>
                    <a:lnTo>
                      <a:pt x="375" y="732"/>
                    </a:lnTo>
                    <a:lnTo>
                      <a:pt x="375" y="741"/>
                    </a:lnTo>
                    <a:lnTo>
                      <a:pt x="384" y="750"/>
                    </a:lnTo>
                    <a:lnTo>
                      <a:pt x="384" y="777"/>
                    </a:lnTo>
                    <a:lnTo>
                      <a:pt x="384" y="795"/>
                    </a:lnTo>
                    <a:lnTo>
                      <a:pt x="384" y="813"/>
                    </a:lnTo>
                    <a:lnTo>
                      <a:pt x="384" y="831"/>
                    </a:lnTo>
                    <a:lnTo>
                      <a:pt x="384" y="840"/>
                    </a:lnTo>
                    <a:lnTo>
                      <a:pt x="375" y="848"/>
                    </a:lnTo>
                    <a:lnTo>
                      <a:pt x="366" y="857"/>
                    </a:lnTo>
                    <a:lnTo>
                      <a:pt x="366" y="866"/>
                    </a:lnTo>
                    <a:lnTo>
                      <a:pt x="357" y="866"/>
                    </a:lnTo>
                    <a:lnTo>
                      <a:pt x="357" y="875"/>
                    </a:lnTo>
                    <a:lnTo>
                      <a:pt x="357" y="875"/>
                    </a:lnTo>
                    <a:lnTo>
                      <a:pt x="348" y="875"/>
                    </a:lnTo>
                    <a:lnTo>
                      <a:pt x="348" y="875"/>
                    </a:lnTo>
                    <a:lnTo>
                      <a:pt x="348" y="875"/>
                    </a:lnTo>
                    <a:lnTo>
                      <a:pt x="348" y="875"/>
                    </a:lnTo>
                    <a:lnTo>
                      <a:pt x="348" y="875"/>
                    </a:lnTo>
                    <a:lnTo>
                      <a:pt x="348" y="875"/>
                    </a:lnTo>
                    <a:lnTo>
                      <a:pt x="339" y="875"/>
                    </a:lnTo>
                    <a:lnTo>
                      <a:pt x="339" y="884"/>
                    </a:lnTo>
                    <a:lnTo>
                      <a:pt x="339" y="884"/>
                    </a:lnTo>
                    <a:lnTo>
                      <a:pt x="339" y="884"/>
                    </a:lnTo>
                    <a:lnTo>
                      <a:pt x="339" y="884"/>
                    </a:lnTo>
                    <a:lnTo>
                      <a:pt x="339" y="893"/>
                    </a:lnTo>
                    <a:lnTo>
                      <a:pt x="339" y="893"/>
                    </a:lnTo>
                    <a:lnTo>
                      <a:pt x="339" y="893"/>
                    </a:lnTo>
                    <a:lnTo>
                      <a:pt x="339" y="893"/>
                    </a:lnTo>
                    <a:lnTo>
                      <a:pt x="339" y="893"/>
                    </a:lnTo>
                    <a:lnTo>
                      <a:pt x="339" y="893"/>
                    </a:lnTo>
                    <a:lnTo>
                      <a:pt x="339" y="893"/>
                    </a:lnTo>
                    <a:lnTo>
                      <a:pt x="330" y="893"/>
                    </a:lnTo>
                    <a:lnTo>
                      <a:pt x="330" y="893"/>
                    </a:lnTo>
                    <a:lnTo>
                      <a:pt x="330" y="893"/>
                    </a:lnTo>
                    <a:lnTo>
                      <a:pt x="321" y="893"/>
                    </a:lnTo>
                    <a:lnTo>
                      <a:pt x="321" y="893"/>
                    </a:lnTo>
                    <a:lnTo>
                      <a:pt x="321" y="902"/>
                    </a:lnTo>
                    <a:lnTo>
                      <a:pt x="321" y="902"/>
                    </a:lnTo>
                    <a:lnTo>
                      <a:pt x="312" y="902"/>
                    </a:lnTo>
                    <a:lnTo>
                      <a:pt x="312" y="902"/>
                    </a:lnTo>
                    <a:lnTo>
                      <a:pt x="312" y="902"/>
                    </a:lnTo>
                    <a:lnTo>
                      <a:pt x="312" y="902"/>
                    </a:lnTo>
                    <a:lnTo>
                      <a:pt x="303" y="902"/>
                    </a:lnTo>
                    <a:lnTo>
                      <a:pt x="303" y="902"/>
                    </a:lnTo>
                    <a:lnTo>
                      <a:pt x="303" y="902"/>
                    </a:lnTo>
                    <a:lnTo>
                      <a:pt x="303" y="911"/>
                    </a:lnTo>
                    <a:lnTo>
                      <a:pt x="294" y="911"/>
                    </a:lnTo>
                    <a:lnTo>
                      <a:pt x="294" y="911"/>
                    </a:lnTo>
                    <a:lnTo>
                      <a:pt x="294" y="911"/>
                    </a:lnTo>
                    <a:lnTo>
                      <a:pt x="294" y="920"/>
                    </a:lnTo>
                    <a:lnTo>
                      <a:pt x="294" y="920"/>
                    </a:lnTo>
                    <a:lnTo>
                      <a:pt x="285" y="920"/>
                    </a:lnTo>
                    <a:lnTo>
                      <a:pt x="285" y="920"/>
                    </a:lnTo>
                    <a:lnTo>
                      <a:pt x="285" y="929"/>
                    </a:lnTo>
                    <a:lnTo>
                      <a:pt x="285" y="929"/>
                    </a:lnTo>
                    <a:lnTo>
                      <a:pt x="285" y="929"/>
                    </a:lnTo>
                    <a:lnTo>
                      <a:pt x="285" y="938"/>
                    </a:lnTo>
                    <a:lnTo>
                      <a:pt x="285" y="938"/>
                    </a:lnTo>
                    <a:lnTo>
                      <a:pt x="285" y="938"/>
                    </a:lnTo>
                    <a:lnTo>
                      <a:pt x="285" y="947"/>
                    </a:lnTo>
                    <a:lnTo>
                      <a:pt x="285" y="947"/>
                    </a:lnTo>
                    <a:lnTo>
                      <a:pt x="285" y="947"/>
                    </a:lnTo>
                    <a:lnTo>
                      <a:pt x="285" y="956"/>
                    </a:lnTo>
                    <a:lnTo>
                      <a:pt x="285" y="956"/>
                    </a:lnTo>
                    <a:lnTo>
                      <a:pt x="285" y="956"/>
                    </a:lnTo>
                    <a:lnTo>
                      <a:pt x="285" y="956"/>
                    </a:lnTo>
                    <a:lnTo>
                      <a:pt x="285" y="956"/>
                    </a:lnTo>
                    <a:lnTo>
                      <a:pt x="277" y="956"/>
                    </a:lnTo>
                    <a:lnTo>
                      <a:pt x="277" y="956"/>
                    </a:lnTo>
                    <a:lnTo>
                      <a:pt x="277" y="956"/>
                    </a:lnTo>
                    <a:lnTo>
                      <a:pt x="277" y="947"/>
                    </a:lnTo>
                    <a:lnTo>
                      <a:pt x="277" y="947"/>
                    </a:lnTo>
                    <a:lnTo>
                      <a:pt x="277" y="938"/>
                    </a:lnTo>
                    <a:lnTo>
                      <a:pt x="277" y="938"/>
                    </a:lnTo>
                    <a:lnTo>
                      <a:pt x="268" y="929"/>
                    </a:lnTo>
                    <a:lnTo>
                      <a:pt x="268" y="929"/>
                    </a:lnTo>
                    <a:lnTo>
                      <a:pt x="268" y="929"/>
                    </a:lnTo>
                    <a:lnTo>
                      <a:pt x="268" y="920"/>
                    </a:lnTo>
                    <a:lnTo>
                      <a:pt x="268" y="920"/>
                    </a:lnTo>
                    <a:lnTo>
                      <a:pt x="268" y="920"/>
                    </a:lnTo>
                    <a:lnTo>
                      <a:pt x="259" y="920"/>
                    </a:lnTo>
                    <a:lnTo>
                      <a:pt x="259" y="920"/>
                    </a:lnTo>
                    <a:lnTo>
                      <a:pt x="259" y="911"/>
                    </a:lnTo>
                    <a:lnTo>
                      <a:pt x="259" y="911"/>
                    </a:lnTo>
                    <a:lnTo>
                      <a:pt x="259" y="911"/>
                    </a:lnTo>
                    <a:lnTo>
                      <a:pt x="259" y="902"/>
                    </a:lnTo>
                    <a:lnTo>
                      <a:pt x="259" y="902"/>
                    </a:lnTo>
                    <a:lnTo>
                      <a:pt x="259" y="902"/>
                    </a:lnTo>
                    <a:lnTo>
                      <a:pt x="259" y="893"/>
                    </a:lnTo>
                    <a:lnTo>
                      <a:pt x="259" y="893"/>
                    </a:lnTo>
                    <a:lnTo>
                      <a:pt x="259" y="893"/>
                    </a:lnTo>
                    <a:lnTo>
                      <a:pt x="259" y="884"/>
                    </a:lnTo>
                    <a:lnTo>
                      <a:pt x="259" y="884"/>
                    </a:lnTo>
                    <a:lnTo>
                      <a:pt x="259" y="884"/>
                    </a:lnTo>
                    <a:lnTo>
                      <a:pt x="259" y="884"/>
                    </a:lnTo>
                    <a:lnTo>
                      <a:pt x="250" y="884"/>
                    </a:lnTo>
                    <a:lnTo>
                      <a:pt x="250" y="884"/>
                    </a:lnTo>
                    <a:lnTo>
                      <a:pt x="250" y="884"/>
                    </a:lnTo>
                    <a:lnTo>
                      <a:pt x="250" y="884"/>
                    </a:lnTo>
                    <a:lnTo>
                      <a:pt x="241" y="884"/>
                    </a:lnTo>
                    <a:lnTo>
                      <a:pt x="241" y="884"/>
                    </a:lnTo>
                    <a:lnTo>
                      <a:pt x="241" y="884"/>
                    </a:lnTo>
                    <a:lnTo>
                      <a:pt x="241" y="884"/>
                    </a:lnTo>
                    <a:lnTo>
                      <a:pt x="232" y="884"/>
                    </a:lnTo>
                    <a:lnTo>
                      <a:pt x="232" y="884"/>
                    </a:lnTo>
                    <a:lnTo>
                      <a:pt x="232" y="884"/>
                    </a:lnTo>
                    <a:lnTo>
                      <a:pt x="232" y="884"/>
                    </a:lnTo>
                    <a:lnTo>
                      <a:pt x="223" y="884"/>
                    </a:lnTo>
                    <a:lnTo>
                      <a:pt x="223" y="884"/>
                    </a:lnTo>
                    <a:lnTo>
                      <a:pt x="223" y="875"/>
                    </a:lnTo>
                    <a:lnTo>
                      <a:pt x="223" y="875"/>
                    </a:lnTo>
                    <a:lnTo>
                      <a:pt x="223" y="875"/>
                    </a:lnTo>
                    <a:lnTo>
                      <a:pt x="232" y="875"/>
                    </a:lnTo>
                    <a:lnTo>
                      <a:pt x="232" y="875"/>
                    </a:lnTo>
                    <a:lnTo>
                      <a:pt x="232" y="866"/>
                    </a:lnTo>
                    <a:lnTo>
                      <a:pt x="232" y="866"/>
                    </a:lnTo>
                    <a:lnTo>
                      <a:pt x="223" y="866"/>
                    </a:lnTo>
                    <a:lnTo>
                      <a:pt x="223" y="857"/>
                    </a:lnTo>
                    <a:lnTo>
                      <a:pt x="223" y="857"/>
                    </a:lnTo>
                    <a:lnTo>
                      <a:pt x="214" y="848"/>
                    </a:lnTo>
                    <a:lnTo>
                      <a:pt x="214" y="848"/>
                    </a:lnTo>
                    <a:lnTo>
                      <a:pt x="214" y="848"/>
                    </a:lnTo>
                    <a:lnTo>
                      <a:pt x="214" y="840"/>
                    </a:lnTo>
                    <a:lnTo>
                      <a:pt x="205" y="840"/>
                    </a:lnTo>
                    <a:lnTo>
                      <a:pt x="205" y="840"/>
                    </a:lnTo>
                    <a:lnTo>
                      <a:pt x="205" y="831"/>
                    </a:lnTo>
                    <a:lnTo>
                      <a:pt x="205" y="831"/>
                    </a:lnTo>
                    <a:lnTo>
                      <a:pt x="205" y="831"/>
                    </a:lnTo>
                    <a:lnTo>
                      <a:pt x="196" y="831"/>
                    </a:lnTo>
                    <a:lnTo>
                      <a:pt x="196" y="822"/>
                    </a:lnTo>
                    <a:lnTo>
                      <a:pt x="196" y="822"/>
                    </a:lnTo>
                    <a:lnTo>
                      <a:pt x="196" y="822"/>
                    </a:lnTo>
                    <a:lnTo>
                      <a:pt x="196" y="822"/>
                    </a:lnTo>
                    <a:lnTo>
                      <a:pt x="187" y="822"/>
                    </a:lnTo>
                    <a:lnTo>
                      <a:pt x="187" y="822"/>
                    </a:lnTo>
                    <a:lnTo>
                      <a:pt x="187" y="822"/>
                    </a:lnTo>
                    <a:lnTo>
                      <a:pt x="187" y="822"/>
                    </a:lnTo>
                    <a:lnTo>
                      <a:pt x="178" y="822"/>
                    </a:lnTo>
                    <a:lnTo>
                      <a:pt x="178" y="831"/>
                    </a:lnTo>
                    <a:lnTo>
                      <a:pt x="178" y="831"/>
                    </a:lnTo>
                    <a:lnTo>
                      <a:pt x="169" y="831"/>
                    </a:lnTo>
                    <a:lnTo>
                      <a:pt x="169" y="831"/>
                    </a:lnTo>
                    <a:lnTo>
                      <a:pt x="169" y="831"/>
                    </a:lnTo>
                    <a:lnTo>
                      <a:pt x="160" y="831"/>
                    </a:lnTo>
                    <a:lnTo>
                      <a:pt x="160" y="840"/>
                    </a:lnTo>
                    <a:lnTo>
                      <a:pt x="160" y="840"/>
                    </a:lnTo>
                    <a:lnTo>
                      <a:pt x="160" y="840"/>
                    </a:lnTo>
                    <a:lnTo>
                      <a:pt x="152" y="840"/>
                    </a:lnTo>
                    <a:lnTo>
                      <a:pt x="152" y="840"/>
                    </a:lnTo>
                    <a:lnTo>
                      <a:pt x="152" y="840"/>
                    </a:lnTo>
                    <a:lnTo>
                      <a:pt x="152" y="840"/>
                    </a:lnTo>
                    <a:lnTo>
                      <a:pt x="143" y="840"/>
                    </a:lnTo>
                    <a:lnTo>
                      <a:pt x="143" y="840"/>
                    </a:lnTo>
                    <a:lnTo>
                      <a:pt x="143" y="840"/>
                    </a:lnTo>
                    <a:lnTo>
                      <a:pt x="143" y="840"/>
                    </a:lnTo>
                    <a:lnTo>
                      <a:pt x="143" y="840"/>
                    </a:lnTo>
                    <a:lnTo>
                      <a:pt x="134" y="840"/>
                    </a:lnTo>
                    <a:lnTo>
                      <a:pt x="134" y="840"/>
                    </a:lnTo>
                    <a:lnTo>
                      <a:pt x="134" y="840"/>
                    </a:lnTo>
                    <a:lnTo>
                      <a:pt x="125" y="831"/>
                    </a:lnTo>
                    <a:lnTo>
                      <a:pt x="125" y="831"/>
                    </a:lnTo>
                    <a:lnTo>
                      <a:pt x="125" y="831"/>
                    </a:lnTo>
                    <a:lnTo>
                      <a:pt x="125" y="831"/>
                    </a:lnTo>
                    <a:lnTo>
                      <a:pt x="116" y="831"/>
                    </a:lnTo>
                    <a:lnTo>
                      <a:pt x="116" y="831"/>
                    </a:lnTo>
                    <a:lnTo>
                      <a:pt x="116" y="822"/>
                    </a:lnTo>
                    <a:lnTo>
                      <a:pt x="116" y="822"/>
                    </a:lnTo>
                    <a:lnTo>
                      <a:pt x="116" y="822"/>
                    </a:lnTo>
                    <a:lnTo>
                      <a:pt x="116" y="822"/>
                    </a:lnTo>
                    <a:lnTo>
                      <a:pt x="116" y="813"/>
                    </a:lnTo>
                    <a:lnTo>
                      <a:pt x="116" y="813"/>
                    </a:lnTo>
                    <a:lnTo>
                      <a:pt x="116" y="813"/>
                    </a:lnTo>
                    <a:lnTo>
                      <a:pt x="116" y="813"/>
                    </a:lnTo>
                    <a:lnTo>
                      <a:pt x="116" y="804"/>
                    </a:lnTo>
                    <a:lnTo>
                      <a:pt x="116" y="804"/>
                    </a:lnTo>
                    <a:lnTo>
                      <a:pt x="116" y="804"/>
                    </a:lnTo>
                    <a:lnTo>
                      <a:pt x="116" y="804"/>
                    </a:lnTo>
                    <a:lnTo>
                      <a:pt x="107" y="795"/>
                    </a:lnTo>
                    <a:lnTo>
                      <a:pt x="107" y="795"/>
                    </a:lnTo>
                    <a:lnTo>
                      <a:pt x="107" y="795"/>
                    </a:lnTo>
                    <a:lnTo>
                      <a:pt x="107" y="795"/>
                    </a:lnTo>
                    <a:lnTo>
                      <a:pt x="107" y="786"/>
                    </a:lnTo>
                    <a:lnTo>
                      <a:pt x="107" y="786"/>
                    </a:lnTo>
                    <a:lnTo>
                      <a:pt x="98" y="786"/>
                    </a:lnTo>
                    <a:lnTo>
                      <a:pt x="98" y="777"/>
                    </a:lnTo>
                    <a:lnTo>
                      <a:pt x="98" y="777"/>
                    </a:lnTo>
                    <a:lnTo>
                      <a:pt x="98" y="777"/>
                    </a:lnTo>
                    <a:lnTo>
                      <a:pt x="89" y="777"/>
                    </a:lnTo>
                    <a:lnTo>
                      <a:pt x="89" y="768"/>
                    </a:lnTo>
                    <a:lnTo>
                      <a:pt x="89" y="768"/>
                    </a:lnTo>
                    <a:lnTo>
                      <a:pt x="89" y="768"/>
                    </a:lnTo>
                    <a:lnTo>
                      <a:pt x="80" y="768"/>
                    </a:lnTo>
                    <a:lnTo>
                      <a:pt x="80" y="768"/>
                    </a:lnTo>
                    <a:lnTo>
                      <a:pt x="80" y="768"/>
                    </a:lnTo>
                    <a:lnTo>
                      <a:pt x="71" y="777"/>
                    </a:lnTo>
                    <a:lnTo>
                      <a:pt x="71" y="777"/>
                    </a:lnTo>
                    <a:lnTo>
                      <a:pt x="71" y="777"/>
                    </a:lnTo>
                    <a:lnTo>
                      <a:pt x="71" y="777"/>
                    </a:lnTo>
                    <a:lnTo>
                      <a:pt x="62" y="777"/>
                    </a:lnTo>
                    <a:lnTo>
                      <a:pt x="62" y="777"/>
                    </a:lnTo>
                    <a:lnTo>
                      <a:pt x="62" y="777"/>
                    </a:lnTo>
                    <a:lnTo>
                      <a:pt x="53" y="786"/>
                    </a:lnTo>
                    <a:lnTo>
                      <a:pt x="53" y="786"/>
                    </a:lnTo>
                    <a:lnTo>
                      <a:pt x="53" y="786"/>
                    </a:lnTo>
                    <a:lnTo>
                      <a:pt x="44" y="786"/>
                    </a:lnTo>
                    <a:lnTo>
                      <a:pt x="44" y="786"/>
                    </a:lnTo>
                    <a:lnTo>
                      <a:pt x="44" y="795"/>
                    </a:lnTo>
                    <a:lnTo>
                      <a:pt x="44" y="795"/>
                    </a:lnTo>
                    <a:lnTo>
                      <a:pt x="35" y="795"/>
                    </a:lnTo>
                    <a:lnTo>
                      <a:pt x="35" y="795"/>
                    </a:lnTo>
                    <a:lnTo>
                      <a:pt x="35" y="795"/>
                    </a:lnTo>
                    <a:lnTo>
                      <a:pt x="35" y="795"/>
                    </a:lnTo>
                    <a:lnTo>
                      <a:pt x="26" y="795"/>
                    </a:lnTo>
                    <a:lnTo>
                      <a:pt x="26" y="804"/>
                    </a:lnTo>
                    <a:lnTo>
                      <a:pt x="18" y="804"/>
                    </a:lnTo>
                    <a:lnTo>
                      <a:pt x="18" y="804"/>
                    </a:lnTo>
                    <a:lnTo>
                      <a:pt x="18" y="804"/>
                    </a:lnTo>
                    <a:lnTo>
                      <a:pt x="9" y="804"/>
                    </a:lnTo>
                    <a:lnTo>
                      <a:pt x="9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795"/>
                    </a:lnTo>
                    <a:lnTo>
                      <a:pt x="0" y="795"/>
                    </a:lnTo>
                    <a:lnTo>
                      <a:pt x="0" y="795"/>
                    </a:lnTo>
                    <a:lnTo>
                      <a:pt x="0" y="795"/>
                    </a:lnTo>
                    <a:lnTo>
                      <a:pt x="0" y="795"/>
                    </a:lnTo>
                    <a:lnTo>
                      <a:pt x="0" y="795"/>
                    </a:lnTo>
                    <a:lnTo>
                      <a:pt x="0" y="786"/>
                    </a:lnTo>
                    <a:lnTo>
                      <a:pt x="0" y="786"/>
                    </a:lnTo>
                    <a:lnTo>
                      <a:pt x="9" y="786"/>
                    </a:lnTo>
                    <a:lnTo>
                      <a:pt x="9" y="786"/>
                    </a:lnTo>
                    <a:lnTo>
                      <a:pt x="9" y="786"/>
                    </a:lnTo>
                    <a:lnTo>
                      <a:pt x="9" y="777"/>
                    </a:lnTo>
                    <a:lnTo>
                      <a:pt x="9" y="777"/>
                    </a:lnTo>
                    <a:lnTo>
                      <a:pt x="9" y="777"/>
                    </a:lnTo>
                    <a:lnTo>
                      <a:pt x="18" y="777"/>
                    </a:lnTo>
                    <a:lnTo>
                      <a:pt x="18" y="777"/>
                    </a:lnTo>
                    <a:lnTo>
                      <a:pt x="18" y="768"/>
                    </a:lnTo>
                    <a:lnTo>
                      <a:pt x="18" y="768"/>
                    </a:lnTo>
                    <a:lnTo>
                      <a:pt x="18" y="768"/>
                    </a:lnTo>
                    <a:lnTo>
                      <a:pt x="18" y="768"/>
                    </a:lnTo>
                    <a:lnTo>
                      <a:pt x="18" y="768"/>
                    </a:lnTo>
                    <a:lnTo>
                      <a:pt x="18" y="759"/>
                    </a:lnTo>
                    <a:lnTo>
                      <a:pt x="18" y="759"/>
                    </a:lnTo>
                    <a:lnTo>
                      <a:pt x="18" y="759"/>
                    </a:lnTo>
                    <a:lnTo>
                      <a:pt x="18" y="759"/>
                    </a:lnTo>
                    <a:lnTo>
                      <a:pt x="18" y="759"/>
                    </a:lnTo>
                    <a:lnTo>
                      <a:pt x="26" y="759"/>
                    </a:lnTo>
                    <a:lnTo>
                      <a:pt x="26" y="750"/>
                    </a:lnTo>
                    <a:lnTo>
                      <a:pt x="26" y="750"/>
                    </a:lnTo>
                    <a:lnTo>
                      <a:pt x="26" y="750"/>
                    </a:lnTo>
                    <a:lnTo>
                      <a:pt x="26" y="750"/>
                    </a:lnTo>
                    <a:lnTo>
                      <a:pt x="26" y="741"/>
                    </a:lnTo>
                    <a:lnTo>
                      <a:pt x="26" y="741"/>
                    </a:lnTo>
                    <a:lnTo>
                      <a:pt x="26" y="741"/>
                    </a:lnTo>
                    <a:lnTo>
                      <a:pt x="26" y="732"/>
                    </a:lnTo>
                    <a:lnTo>
                      <a:pt x="26" y="732"/>
                    </a:lnTo>
                    <a:lnTo>
                      <a:pt x="26" y="732"/>
                    </a:lnTo>
                    <a:lnTo>
                      <a:pt x="26" y="723"/>
                    </a:lnTo>
                    <a:lnTo>
                      <a:pt x="35" y="723"/>
                    </a:lnTo>
                    <a:lnTo>
                      <a:pt x="35" y="723"/>
                    </a:lnTo>
                    <a:lnTo>
                      <a:pt x="35" y="723"/>
                    </a:lnTo>
                    <a:lnTo>
                      <a:pt x="35" y="715"/>
                    </a:lnTo>
                    <a:lnTo>
                      <a:pt x="35" y="715"/>
                    </a:lnTo>
                    <a:lnTo>
                      <a:pt x="35" y="715"/>
                    </a:lnTo>
                    <a:lnTo>
                      <a:pt x="44" y="715"/>
                    </a:lnTo>
                    <a:lnTo>
                      <a:pt x="44" y="706"/>
                    </a:lnTo>
                    <a:lnTo>
                      <a:pt x="44" y="706"/>
                    </a:lnTo>
                    <a:lnTo>
                      <a:pt x="44" y="706"/>
                    </a:lnTo>
                    <a:lnTo>
                      <a:pt x="44" y="697"/>
                    </a:lnTo>
                    <a:lnTo>
                      <a:pt x="44" y="697"/>
                    </a:lnTo>
                    <a:lnTo>
                      <a:pt x="53" y="697"/>
                    </a:lnTo>
                    <a:lnTo>
                      <a:pt x="53" y="697"/>
                    </a:lnTo>
                    <a:lnTo>
                      <a:pt x="53" y="688"/>
                    </a:lnTo>
                    <a:lnTo>
                      <a:pt x="53" y="688"/>
                    </a:lnTo>
                    <a:lnTo>
                      <a:pt x="53" y="688"/>
                    </a:lnTo>
                    <a:lnTo>
                      <a:pt x="53" y="688"/>
                    </a:lnTo>
                    <a:lnTo>
                      <a:pt x="53" y="679"/>
                    </a:lnTo>
                    <a:lnTo>
                      <a:pt x="53" y="679"/>
                    </a:lnTo>
                    <a:lnTo>
                      <a:pt x="53" y="679"/>
                    </a:lnTo>
                    <a:lnTo>
                      <a:pt x="53" y="679"/>
                    </a:lnTo>
                    <a:lnTo>
                      <a:pt x="53" y="679"/>
                    </a:lnTo>
                    <a:lnTo>
                      <a:pt x="53" y="679"/>
                    </a:lnTo>
                    <a:lnTo>
                      <a:pt x="53" y="670"/>
                    </a:lnTo>
                    <a:lnTo>
                      <a:pt x="62" y="670"/>
                    </a:lnTo>
                    <a:lnTo>
                      <a:pt x="62" y="670"/>
                    </a:lnTo>
                    <a:lnTo>
                      <a:pt x="62" y="670"/>
                    </a:lnTo>
                    <a:lnTo>
                      <a:pt x="62" y="670"/>
                    </a:lnTo>
                    <a:lnTo>
                      <a:pt x="62" y="670"/>
                    </a:lnTo>
                    <a:lnTo>
                      <a:pt x="62" y="661"/>
                    </a:lnTo>
                    <a:lnTo>
                      <a:pt x="62" y="661"/>
                    </a:lnTo>
                    <a:lnTo>
                      <a:pt x="62" y="661"/>
                    </a:lnTo>
                    <a:lnTo>
                      <a:pt x="62" y="661"/>
                    </a:lnTo>
                    <a:lnTo>
                      <a:pt x="71" y="661"/>
                    </a:lnTo>
                    <a:lnTo>
                      <a:pt x="71" y="652"/>
                    </a:lnTo>
                    <a:lnTo>
                      <a:pt x="71" y="652"/>
                    </a:lnTo>
                    <a:lnTo>
                      <a:pt x="71" y="652"/>
                    </a:lnTo>
                    <a:lnTo>
                      <a:pt x="71" y="652"/>
                    </a:lnTo>
                    <a:lnTo>
                      <a:pt x="71" y="652"/>
                    </a:lnTo>
                    <a:lnTo>
                      <a:pt x="71" y="643"/>
                    </a:lnTo>
                    <a:lnTo>
                      <a:pt x="71" y="643"/>
                    </a:lnTo>
                    <a:lnTo>
                      <a:pt x="71" y="643"/>
                    </a:lnTo>
                    <a:lnTo>
                      <a:pt x="71" y="643"/>
                    </a:lnTo>
                    <a:lnTo>
                      <a:pt x="71" y="643"/>
                    </a:lnTo>
                    <a:lnTo>
                      <a:pt x="71" y="643"/>
                    </a:lnTo>
                    <a:lnTo>
                      <a:pt x="71" y="634"/>
                    </a:lnTo>
                    <a:lnTo>
                      <a:pt x="71" y="634"/>
                    </a:lnTo>
                    <a:lnTo>
                      <a:pt x="71" y="634"/>
                    </a:lnTo>
                    <a:lnTo>
                      <a:pt x="71" y="634"/>
                    </a:lnTo>
                    <a:lnTo>
                      <a:pt x="71" y="634"/>
                    </a:lnTo>
                    <a:lnTo>
                      <a:pt x="71" y="634"/>
                    </a:lnTo>
                    <a:lnTo>
                      <a:pt x="71" y="625"/>
                    </a:lnTo>
                    <a:lnTo>
                      <a:pt x="62" y="625"/>
                    </a:lnTo>
                    <a:lnTo>
                      <a:pt x="62" y="625"/>
                    </a:lnTo>
                    <a:lnTo>
                      <a:pt x="62" y="625"/>
                    </a:lnTo>
                    <a:lnTo>
                      <a:pt x="62" y="616"/>
                    </a:lnTo>
                    <a:lnTo>
                      <a:pt x="62" y="616"/>
                    </a:lnTo>
                    <a:lnTo>
                      <a:pt x="62" y="616"/>
                    </a:lnTo>
                    <a:lnTo>
                      <a:pt x="53" y="607"/>
                    </a:lnTo>
                    <a:lnTo>
                      <a:pt x="53" y="607"/>
                    </a:lnTo>
                    <a:lnTo>
                      <a:pt x="53" y="607"/>
                    </a:lnTo>
                    <a:lnTo>
                      <a:pt x="53" y="598"/>
                    </a:lnTo>
                    <a:lnTo>
                      <a:pt x="53" y="598"/>
                    </a:lnTo>
                    <a:lnTo>
                      <a:pt x="53" y="590"/>
                    </a:lnTo>
                    <a:lnTo>
                      <a:pt x="53" y="590"/>
                    </a:lnTo>
                    <a:lnTo>
                      <a:pt x="53" y="581"/>
                    </a:lnTo>
                    <a:lnTo>
                      <a:pt x="44" y="581"/>
                    </a:lnTo>
                    <a:lnTo>
                      <a:pt x="44" y="581"/>
                    </a:lnTo>
                    <a:lnTo>
                      <a:pt x="44" y="572"/>
                    </a:lnTo>
                    <a:lnTo>
                      <a:pt x="44" y="572"/>
                    </a:lnTo>
                    <a:lnTo>
                      <a:pt x="44" y="563"/>
                    </a:lnTo>
                    <a:lnTo>
                      <a:pt x="44" y="563"/>
                    </a:lnTo>
                    <a:lnTo>
                      <a:pt x="44" y="563"/>
                    </a:lnTo>
                    <a:lnTo>
                      <a:pt x="44" y="554"/>
                    </a:lnTo>
                    <a:lnTo>
                      <a:pt x="44" y="554"/>
                    </a:lnTo>
                    <a:lnTo>
                      <a:pt x="44" y="554"/>
                    </a:lnTo>
                    <a:lnTo>
                      <a:pt x="44" y="545"/>
                    </a:lnTo>
                    <a:lnTo>
                      <a:pt x="44" y="545"/>
                    </a:lnTo>
                    <a:lnTo>
                      <a:pt x="44" y="545"/>
                    </a:lnTo>
                    <a:lnTo>
                      <a:pt x="44" y="536"/>
                    </a:lnTo>
                    <a:lnTo>
                      <a:pt x="44" y="536"/>
                    </a:lnTo>
                    <a:lnTo>
                      <a:pt x="44" y="527"/>
                    </a:lnTo>
                    <a:lnTo>
                      <a:pt x="53" y="527"/>
                    </a:lnTo>
                    <a:lnTo>
                      <a:pt x="53" y="527"/>
                    </a:lnTo>
                    <a:lnTo>
                      <a:pt x="53" y="518"/>
                    </a:lnTo>
                    <a:lnTo>
                      <a:pt x="53" y="518"/>
                    </a:lnTo>
                    <a:lnTo>
                      <a:pt x="53" y="518"/>
                    </a:lnTo>
                    <a:lnTo>
                      <a:pt x="53" y="509"/>
                    </a:lnTo>
                    <a:lnTo>
                      <a:pt x="53" y="509"/>
                    </a:lnTo>
                    <a:lnTo>
                      <a:pt x="53" y="509"/>
                    </a:lnTo>
                    <a:lnTo>
                      <a:pt x="53" y="500"/>
                    </a:lnTo>
                    <a:lnTo>
                      <a:pt x="53" y="500"/>
                    </a:lnTo>
                    <a:lnTo>
                      <a:pt x="53" y="500"/>
                    </a:lnTo>
                    <a:lnTo>
                      <a:pt x="53" y="500"/>
                    </a:lnTo>
                    <a:lnTo>
                      <a:pt x="53" y="491"/>
                    </a:lnTo>
                    <a:lnTo>
                      <a:pt x="53" y="491"/>
                    </a:lnTo>
                    <a:lnTo>
                      <a:pt x="53" y="491"/>
                    </a:lnTo>
                    <a:lnTo>
                      <a:pt x="53" y="491"/>
                    </a:lnTo>
                    <a:lnTo>
                      <a:pt x="53" y="491"/>
                    </a:lnTo>
                    <a:lnTo>
                      <a:pt x="62" y="482"/>
                    </a:lnTo>
                    <a:lnTo>
                      <a:pt x="62" y="482"/>
                    </a:lnTo>
                    <a:lnTo>
                      <a:pt x="62" y="482"/>
                    </a:lnTo>
                    <a:lnTo>
                      <a:pt x="62" y="482"/>
                    </a:lnTo>
                    <a:lnTo>
                      <a:pt x="62" y="473"/>
                    </a:lnTo>
                    <a:lnTo>
                      <a:pt x="62" y="473"/>
                    </a:lnTo>
                    <a:lnTo>
                      <a:pt x="71" y="473"/>
                    </a:lnTo>
                    <a:lnTo>
                      <a:pt x="71" y="473"/>
                    </a:lnTo>
                    <a:lnTo>
                      <a:pt x="71" y="464"/>
                    </a:lnTo>
                    <a:lnTo>
                      <a:pt x="71" y="464"/>
                    </a:lnTo>
                    <a:lnTo>
                      <a:pt x="71" y="464"/>
                    </a:lnTo>
                    <a:lnTo>
                      <a:pt x="71" y="464"/>
                    </a:lnTo>
                    <a:lnTo>
                      <a:pt x="71" y="456"/>
                    </a:lnTo>
                    <a:lnTo>
                      <a:pt x="80" y="456"/>
                    </a:lnTo>
                    <a:lnTo>
                      <a:pt x="80" y="456"/>
                    </a:lnTo>
                    <a:lnTo>
                      <a:pt x="80" y="456"/>
                    </a:lnTo>
                    <a:lnTo>
                      <a:pt x="80" y="447"/>
                    </a:lnTo>
                    <a:lnTo>
                      <a:pt x="80" y="447"/>
                    </a:lnTo>
                    <a:lnTo>
                      <a:pt x="80" y="447"/>
                    </a:lnTo>
                    <a:lnTo>
                      <a:pt x="80" y="438"/>
                    </a:lnTo>
                    <a:lnTo>
                      <a:pt x="80" y="438"/>
                    </a:lnTo>
                    <a:lnTo>
                      <a:pt x="80" y="429"/>
                    </a:lnTo>
                    <a:lnTo>
                      <a:pt x="80" y="429"/>
                    </a:lnTo>
                    <a:lnTo>
                      <a:pt x="80" y="420"/>
                    </a:lnTo>
                    <a:lnTo>
                      <a:pt x="80" y="420"/>
                    </a:lnTo>
                    <a:lnTo>
                      <a:pt x="80" y="420"/>
                    </a:lnTo>
                    <a:lnTo>
                      <a:pt x="80" y="411"/>
                    </a:lnTo>
                    <a:lnTo>
                      <a:pt x="80" y="411"/>
                    </a:lnTo>
                    <a:lnTo>
                      <a:pt x="80" y="411"/>
                    </a:lnTo>
                    <a:lnTo>
                      <a:pt x="80" y="402"/>
                    </a:lnTo>
                    <a:lnTo>
                      <a:pt x="80" y="402"/>
                    </a:lnTo>
                    <a:lnTo>
                      <a:pt x="80" y="402"/>
                    </a:lnTo>
                    <a:lnTo>
                      <a:pt x="80" y="402"/>
                    </a:lnTo>
                    <a:lnTo>
                      <a:pt x="80" y="402"/>
                    </a:lnTo>
                    <a:lnTo>
                      <a:pt x="80" y="393"/>
                    </a:lnTo>
                    <a:lnTo>
                      <a:pt x="80" y="393"/>
                    </a:lnTo>
                    <a:lnTo>
                      <a:pt x="71" y="393"/>
                    </a:lnTo>
                    <a:lnTo>
                      <a:pt x="71" y="393"/>
                    </a:lnTo>
                    <a:lnTo>
                      <a:pt x="71" y="393"/>
                    </a:lnTo>
                    <a:lnTo>
                      <a:pt x="62" y="393"/>
                    </a:lnTo>
                    <a:lnTo>
                      <a:pt x="62" y="393"/>
                    </a:lnTo>
                    <a:lnTo>
                      <a:pt x="62" y="393"/>
                    </a:lnTo>
                    <a:lnTo>
                      <a:pt x="62" y="393"/>
                    </a:lnTo>
                    <a:lnTo>
                      <a:pt x="53" y="393"/>
                    </a:lnTo>
                    <a:lnTo>
                      <a:pt x="53" y="393"/>
                    </a:lnTo>
                    <a:lnTo>
                      <a:pt x="53" y="393"/>
                    </a:lnTo>
                    <a:lnTo>
                      <a:pt x="53" y="393"/>
                    </a:lnTo>
                    <a:lnTo>
                      <a:pt x="53" y="393"/>
                    </a:lnTo>
                    <a:lnTo>
                      <a:pt x="44" y="393"/>
                    </a:lnTo>
                    <a:lnTo>
                      <a:pt x="44" y="393"/>
                    </a:lnTo>
                    <a:lnTo>
                      <a:pt x="44" y="393"/>
                    </a:lnTo>
                    <a:lnTo>
                      <a:pt x="44" y="393"/>
                    </a:lnTo>
                    <a:lnTo>
                      <a:pt x="35" y="393"/>
                    </a:lnTo>
                    <a:lnTo>
                      <a:pt x="35" y="393"/>
                    </a:lnTo>
                    <a:lnTo>
                      <a:pt x="35" y="393"/>
                    </a:lnTo>
                    <a:lnTo>
                      <a:pt x="26" y="393"/>
                    </a:lnTo>
                    <a:lnTo>
                      <a:pt x="26" y="393"/>
                    </a:lnTo>
                    <a:lnTo>
                      <a:pt x="26" y="393"/>
                    </a:lnTo>
                    <a:lnTo>
                      <a:pt x="18" y="393"/>
                    </a:lnTo>
                    <a:lnTo>
                      <a:pt x="18" y="393"/>
                    </a:lnTo>
                    <a:lnTo>
                      <a:pt x="18" y="393"/>
                    </a:lnTo>
                    <a:lnTo>
                      <a:pt x="18" y="393"/>
                    </a:lnTo>
                    <a:lnTo>
                      <a:pt x="18" y="393"/>
                    </a:lnTo>
                    <a:lnTo>
                      <a:pt x="18" y="393"/>
                    </a:lnTo>
                    <a:lnTo>
                      <a:pt x="18" y="393"/>
                    </a:lnTo>
                    <a:lnTo>
                      <a:pt x="18" y="393"/>
                    </a:lnTo>
                    <a:lnTo>
                      <a:pt x="18" y="384"/>
                    </a:lnTo>
                    <a:lnTo>
                      <a:pt x="18" y="384"/>
                    </a:lnTo>
                    <a:lnTo>
                      <a:pt x="18" y="384"/>
                    </a:lnTo>
                    <a:lnTo>
                      <a:pt x="18" y="384"/>
                    </a:lnTo>
                    <a:lnTo>
                      <a:pt x="18" y="384"/>
                    </a:lnTo>
                    <a:lnTo>
                      <a:pt x="18" y="384"/>
                    </a:lnTo>
                    <a:lnTo>
                      <a:pt x="18" y="375"/>
                    </a:lnTo>
                    <a:lnTo>
                      <a:pt x="18" y="375"/>
                    </a:lnTo>
                    <a:lnTo>
                      <a:pt x="18" y="375"/>
                    </a:lnTo>
                    <a:lnTo>
                      <a:pt x="18" y="375"/>
                    </a:lnTo>
                    <a:lnTo>
                      <a:pt x="18" y="375"/>
                    </a:lnTo>
                    <a:lnTo>
                      <a:pt x="18" y="375"/>
                    </a:lnTo>
                    <a:lnTo>
                      <a:pt x="26" y="375"/>
                    </a:lnTo>
                    <a:lnTo>
                      <a:pt x="26" y="375"/>
                    </a:lnTo>
                    <a:lnTo>
                      <a:pt x="26" y="375"/>
                    </a:lnTo>
                    <a:lnTo>
                      <a:pt x="26" y="375"/>
                    </a:lnTo>
                    <a:lnTo>
                      <a:pt x="26" y="375"/>
                    </a:lnTo>
                    <a:lnTo>
                      <a:pt x="26" y="366"/>
                    </a:lnTo>
                    <a:lnTo>
                      <a:pt x="26" y="366"/>
                    </a:lnTo>
                    <a:lnTo>
                      <a:pt x="26" y="366"/>
                    </a:lnTo>
                    <a:lnTo>
                      <a:pt x="35" y="366"/>
                    </a:lnTo>
                    <a:lnTo>
                      <a:pt x="35" y="357"/>
                    </a:lnTo>
                    <a:lnTo>
                      <a:pt x="35" y="357"/>
                    </a:lnTo>
                    <a:lnTo>
                      <a:pt x="35" y="357"/>
                    </a:lnTo>
                    <a:lnTo>
                      <a:pt x="35" y="357"/>
                    </a:lnTo>
                    <a:lnTo>
                      <a:pt x="35" y="348"/>
                    </a:lnTo>
                    <a:lnTo>
                      <a:pt x="35" y="348"/>
                    </a:lnTo>
                    <a:lnTo>
                      <a:pt x="35" y="348"/>
                    </a:lnTo>
                    <a:lnTo>
                      <a:pt x="35" y="339"/>
                    </a:lnTo>
                    <a:lnTo>
                      <a:pt x="35" y="339"/>
                    </a:lnTo>
                    <a:lnTo>
                      <a:pt x="35" y="339"/>
                    </a:lnTo>
                    <a:lnTo>
                      <a:pt x="35" y="331"/>
                    </a:lnTo>
                    <a:lnTo>
                      <a:pt x="35" y="331"/>
                    </a:lnTo>
                    <a:lnTo>
                      <a:pt x="35" y="331"/>
                    </a:lnTo>
                    <a:lnTo>
                      <a:pt x="35" y="322"/>
                    </a:lnTo>
                    <a:lnTo>
                      <a:pt x="26" y="322"/>
                    </a:lnTo>
                    <a:lnTo>
                      <a:pt x="26" y="313"/>
                    </a:lnTo>
                    <a:lnTo>
                      <a:pt x="26" y="313"/>
                    </a:lnTo>
                    <a:lnTo>
                      <a:pt x="26" y="313"/>
                    </a:lnTo>
                    <a:lnTo>
                      <a:pt x="26" y="304"/>
                    </a:lnTo>
                    <a:lnTo>
                      <a:pt x="26" y="304"/>
                    </a:lnTo>
                    <a:lnTo>
                      <a:pt x="26" y="295"/>
                    </a:lnTo>
                    <a:lnTo>
                      <a:pt x="26" y="295"/>
                    </a:lnTo>
                    <a:lnTo>
                      <a:pt x="26" y="286"/>
                    </a:lnTo>
                    <a:lnTo>
                      <a:pt x="26" y="286"/>
                    </a:lnTo>
                    <a:lnTo>
                      <a:pt x="26" y="286"/>
                    </a:lnTo>
                    <a:lnTo>
                      <a:pt x="26" y="277"/>
                    </a:lnTo>
                    <a:lnTo>
                      <a:pt x="35" y="277"/>
                    </a:lnTo>
                    <a:lnTo>
                      <a:pt x="35" y="268"/>
                    </a:lnTo>
                    <a:lnTo>
                      <a:pt x="35" y="268"/>
                    </a:lnTo>
                    <a:lnTo>
                      <a:pt x="35" y="268"/>
                    </a:lnTo>
                    <a:lnTo>
                      <a:pt x="35" y="268"/>
                    </a:lnTo>
                    <a:lnTo>
                      <a:pt x="35" y="268"/>
                    </a:lnTo>
                    <a:lnTo>
                      <a:pt x="35" y="268"/>
                    </a:lnTo>
                    <a:lnTo>
                      <a:pt x="35" y="268"/>
                    </a:lnTo>
                    <a:lnTo>
                      <a:pt x="44" y="268"/>
                    </a:lnTo>
                    <a:lnTo>
                      <a:pt x="44" y="268"/>
                    </a:lnTo>
                    <a:lnTo>
                      <a:pt x="44" y="268"/>
                    </a:lnTo>
                    <a:lnTo>
                      <a:pt x="44" y="268"/>
                    </a:lnTo>
                    <a:lnTo>
                      <a:pt x="44" y="268"/>
                    </a:lnTo>
                    <a:lnTo>
                      <a:pt x="44" y="268"/>
                    </a:lnTo>
                    <a:lnTo>
                      <a:pt x="53" y="268"/>
                    </a:lnTo>
                    <a:lnTo>
                      <a:pt x="53" y="268"/>
                    </a:lnTo>
                    <a:lnTo>
                      <a:pt x="53" y="268"/>
                    </a:lnTo>
                    <a:lnTo>
                      <a:pt x="53" y="268"/>
                    </a:lnTo>
                    <a:lnTo>
                      <a:pt x="53" y="268"/>
                    </a:lnTo>
                    <a:lnTo>
                      <a:pt x="62" y="268"/>
                    </a:lnTo>
                    <a:lnTo>
                      <a:pt x="62" y="268"/>
                    </a:lnTo>
                    <a:lnTo>
                      <a:pt x="62" y="268"/>
                    </a:lnTo>
                    <a:lnTo>
                      <a:pt x="62" y="268"/>
                    </a:lnTo>
                    <a:lnTo>
                      <a:pt x="62" y="268"/>
                    </a:lnTo>
                    <a:lnTo>
                      <a:pt x="62" y="268"/>
                    </a:lnTo>
                    <a:lnTo>
                      <a:pt x="71" y="268"/>
                    </a:lnTo>
                    <a:lnTo>
                      <a:pt x="71" y="268"/>
                    </a:lnTo>
                    <a:lnTo>
                      <a:pt x="71" y="268"/>
                    </a:lnTo>
                    <a:lnTo>
                      <a:pt x="71" y="268"/>
                    </a:lnTo>
                    <a:lnTo>
                      <a:pt x="71" y="268"/>
                    </a:lnTo>
                    <a:lnTo>
                      <a:pt x="71" y="259"/>
                    </a:lnTo>
                    <a:lnTo>
                      <a:pt x="71" y="259"/>
                    </a:lnTo>
                    <a:lnTo>
                      <a:pt x="71" y="259"/>
                    </a:lnTo>
                    <a:lnTo>
                      <a:pt x="71" y="259"/>
                    </a:lnTo>
                    <a:lnTo>
                      <a:pt x="71" y="259"/>
                    </a:lnTo>
                    <a:lnTo>
                      <a:pt x="71" y="250"/>
                    </a:lnTo>
                    <a:lnTo>
                      <a:pt x="71" y="250"/>
                    </a:lnTo>
                    <a:lnTo>
                      <a:pt x="71" y="250"/>
                    </a:lnTo>
                    <a:lnTo>
                      <a:pt x="80" y="250"/>
                    </a:lnTo>
                    <a:lnTo>
                      <a:pt x="80" y="250"/>
                    </a:lnTo>
                    <a:lnTo>
                      <a:pt x="80" y="241"/>
                    </a:lnTo>
                    <a:lnTo>
                      <a:pt x="80" y="241"/>
                    </a:lnTo>
                    <a:lnTo>
                      <a:pt x="80" y="241"/>
                    </a:lnTo>
                    <a:lnTo>
                      <a:pt x="80" y="232"/>
                    </a:lnTo>
                    <a:lnTo>
                      <a:pt x="80" y="232"/>
                    </a:lnTo>
                    <a:lnTo>
                      <a:pt x="80" y="232"/>
                    </a:lnTo>
                    <a:lnTo>
                      <a:pt x="80" y="223"/>
                    </a:lnTo>
                    <a:lnTo>
                      <a:pt x="80" y="223"/>
                    </a:lnTo>
                    <a:lnTo>
                      <a:pt x="80" y="214"/>
                    </a:lnTo>
                    <a:lnTo>
                      <a:pt x="80" y="214"/>
                    </a:lnTo>
                    <a:lnTo>
                      <a:pt x="80" y="206"/>
                    </a:lnTo>
                    <a:lnTo>
                      <a:pt x="80" y="206"/>
                    </a:lnTo>
                    <a:lnTo>
                      <a:pt x="80" y="197"/>
                    </a:lnTo>
                    <a:lnTo>
                      <a:pt x="80" y="197"/>
                    </a:lnTo>
                    <a:lnTo>
                      <a:pt x="80" y="188"/>
                    </a:lnTo>
                    <a:lnTo>
                      <a:pt x="80" y="188"/>
                    </a:lnTo>
                    <a:lnTo>
                      <a:pt x="80" y="179"/>
                    </a:lnTo>
                    <a:lnTo>
                      <a:pt x="80" y="179"/>
                    </a:lnTo>
                    <a:lnTo>
                      <a:pt x="80" y="170"/>
                    </a:lnTo>
                    <a:lnTo>
                      <a:pt x="80" y="170"/>
                    </a:lnTo>
                    <a:lnTo>
                      <a:pt x="80" y="161"/>
                    </a:lnTo>
                    <a:lnTo>
                      <a:pt x="80" y="161"/>
                    </a:lnTo>
                    <a:lnTo>
                      <a:pt x="80" y="152"/>
                    </a:lnTo>
                    <a:lnTo>
                      <a:pt x="80" y="152"/>
                    </a:lnTo>
                    <a:lnTo>
                      <a:pt x="80" y="152"/>
                    </a:lnTo>
                    <a:lnTo>
                      <a:pt x="80" y="143"/>
                    </a:lnTo>
                    <a:lnTo>
                      <a:pt x="80" y="143"/>
                    </a:lnTo>
                    <a:lnTo>
                      <a:pt x="80" y="143"/>
                    </a:lnTo>
                    <a:lnTo>
                      <a:pt x="89" y="143"/>
                    </a:lnTo>
                    <a:lnTo>
                      <a:pt x="89" y="143"/>
                    </a:lnTo>
                    <a:lnTo>
                      <a:pt x="89" y="134"/>
                    </a:lnTo>
                    <a:lnTo>
                      <a:pt x="89" y="134"/>
                    </a:lnTo>
                    <a:lnTo>
                      <a:pt x="89" y="134"/>
                    </a:lnTo>
                    <a:lnTo>
                      <a:pt x="89" y="134"/>
                    </a:lnTo>
                    <a:lnTo>
                      <a:pt x="89" y="134"/>
                    </a:lnTo>
                    <a:lnTo>
                      <a:pt x="98" y="134"/>
                    </a:lnTo>
                    <a:lnTo>
                      <a:pt x="98" y="134"/>
                    </a:lnTo>
                    <a:lnTo>
                      <a:pt x="98" y="134"/>
                    </a:lnTo>
                    <a:lnTo>
                      <a:pt x="98" y="134"/>
                    </a:lnTo>
                    <a:lnTo>
                      <a:pt x="107" y="134"/>
                    </a:lnTo>
                    <a:lnTo>
                      <a:pt x="107" y="134"/>
                    </a:lnTo>
                    <a:lnTo>
                      <a:pt x="107" y="134"/>
                    </a:lnTo>
                    <a:lnTo>
                      <a:pt x="107" y="125"/>
                    </a:lnTo>
                    <a:lnTo>
                      <a:pt x="107" y="125"/>
                    </a:lnTo>
                    <a:lnTo>
                      <a:pt x="107" y="125"/>
                    </a:lnTo>
                    <a:lnTo>
                      <a:pt x="116" y="125"/>
                    </a:lnTo>
                    <a:lnTo>
                      <a:pt x="116" y="125"/>
                    </a:lnTo>
                    <a:lnTo>
                      <a:pt x="116" y="125"/>
                    </a:lnTo>
                    <a:lnTo>
                      <a:pt x="116" y="125"/>
                    </a:lnTo>
                    <a:lnTo>
                      <a:pt x="116" y="125"/>
                    </a:lnTo>
                    <a:lnTo>
                      <a:pt x="116" y="125"/>
                    </a:lnTo>
                    <a:lnTo>
                      <a:pt x="116" y="116"/>
                    </a:lnTo>
                    <a:lnTo>
                      <a:pt x="116" y="116"/>
                    </a:lnTo>
                    <a:lnTo>
                      <a:pt x="116" y="116"/>
                    </a:lnTo>
                    <a:lnTo>
                      <a:pt x="116" y="116"/>
                    </a:lnTo>
                    <a:lnTo>
                      <a:pt x="116" y="116"/>
                    </a:lnTo>
                    <a:lnTo>
                      <a:pt x="116" y="107"/>
                    </a:lnTo>
                    <a:lnTo>
                      <a:pt x="116" y="107"/>
                    </a:lnTo>
                    <a:lnTo>
                      <a:pt x="116" y="107"/>
                    </a:lnTo>
                    <a:lnTo>
                      <a:pt x="116" y="107"/>
                    </a:lnTo>
                    <a:lnTo>
                      <a:pt x="116" y="98"/>
                    </a:lnTo>
                    <a:lnTo>
                      <a:pt x="116" y="98"/>
                    </a:lnTo>
                    <a:lnTo>
                      <a:pt x="116" y="89"/>
                    </a:lnTo>
                    <a:lnTo>
                      <a:pt x="116" y="89"/>
                    </a:lnTo>
                    <a:lnTo>
                      <a:pt x="107" y="89"/>
                    </a:lnTo>
                    <a:lnTo>
                      <a:pt x="107" y="81"/>
                    </a:lnTo>
                    <a:lnTo>
                      <a:pt x="107" y="81"/>
                    </a:lnTo>
                    <a:lnTo>
                      <a:pt x="107" y="81"/>
                    </a:lnTo>
                    <a:lnTo>
                      <a:pt x="107" y="81"/>
                    </a:lnTo>
                    <a:lnTo>
                      <a:pt x="107" y="72"/>
                    </a:lnTo>
                    <a:lnTo>
                      <a:pt x="107" y="72"/>
                    </a:lnTo>
                    <a:lnTo>
                      <a:pt x="107" y="72"/>
                    </a:lnTo>
                    <a:lnTo>
                      <a:pt x="107" y="72"/>
                    </a:lnTo>
                    <a:lnTo>
                      <a:pt x="107" y="63"/>
                    </a:lnTo>
                    <a:lnTo>
                      <a:pt x="98" y="63"/>
                    </a:lnTo>
                    <a:lnTo>
                      <a:pt x="98" y="63"/>
                    </a:lnTo>
                    <a:lnTo>
                      <a:pt x="98" y="54"/>
                    </a:lnTo>
                    <a:lnTo>
                      <a:pt x="98" y="54"/>
                    </a:lnTo>
                    <a:lnTo>
                      <a:pt x="98" y="54"/>
                    </a:lnTo>
                    <a:lnTo>
                      <a:pt x="98" y="54"/>
                    </a:lnTo>
                    <a:lnTo>
                      <a:pt x="98" y="54"/>
                    </a:lnTo>
                    <a:lnTo>
                      <a:pt x="98" y="54"/>
                    </a:lnTo>
                    <a:lnTo>
                      <a:pt x="98" y="36"/>
                    </a:lnTo>
                    <a:lnTo>
                      <a:pt x="89" y="18"/>
                    </a:lnTo>
                    <a:lnTo>
                      <a:pt x="107" y="18"/>
                    </a:lnTo>
                    <a:lnTo>
                      <a:pt x="125" y="18"/>
                    </a:lnTo>
                    <a:lnTo>
                      <a:pt x="125" y="0"/>
                    </a:lnTo>
                    <a:lnTo>
                      <a:pt x="134" y="0"/>
                    </a:lnTo>
                    <a:lnTo>
                      <a:pt x="152" y="0"/>
                    </a:lnTo>
                    <a:lnTo>
                      <a:pt x="169" y="9"/>
                    </a:lnTo>
                    <a:lnTo>
                      <a:pt x="178" y="18"/>
                    </a:lnTo>
                    <a:lnTo>
                      <a:pt x="178" y="36"/>
                    </a:lnTo>
                    <a:lnTo>
                      <a:pt x="196" y="36"/>
                    </a:lnTo>
                    <a:lnTo>
                      <a:pt x="214" y="54"/>
                    </a:lnTo>
                    <a:lnTo>
                      <a:pt x="232" y="63"/>
                    </a:lnTo>
                    <a:lnTo>
                      <a:pt x="232" y="72"/>
                    </a:lnTo>
                    <a:lnTo>
                      <a:pt x="259" y="72"/>
                    </a:lnTo>
                    <a:lnTo>
                      <a:pt x="277" y="63"/>
                    </a:lnTo>
                    <a:lnTo>
                      <a:pt x="285" y="72"/>
                    </a:lnTo>
                    <a:lnTo>
                      <a:pt x="294" y="89"/>
                    </a:lnTo>
                    <a:lnTo>
                      <a:pt x="303" y="98"/>
                    </a:lnTo>
                    <a:lnTo>
                      <a:pt x="321" y="98"/>
                    </a:lnTo>
                    <a:lnTo>
                      <a:pt x="321" y="98"/>
                    </a:lnTo>
                    <a:lnTo>
                      <a:pt x="321" y="98"/>
                    </a:lnTo>
                    <a:lnTo>
                      <a:pt x="321" y="98"/>
                    </a:lnTo>
                    <a:lnTo>
                      <a:pt x="321" y="98"/>
                    </a:lnTo>
                    <a:lnTo>
                      <a:pt x="321" y="98"/>
                    </a:lnTo>
                    <a:lnTo>
                      <a:pt x="321" y="89"/>
                    </a:lnTo>
                    <a:lnTo>
                      <a:pt x="321" y="89"/>
                    </a:lnTo>
                    <a:lnTo>
                      <a:pt x="321" y="89"/>
                    </a:lnTo>
                    <a:lnTo>
                      <a:pt x="321" y="89"/>
                    </a:lnTo>
                    <a:lnTo>
                      <a:pt x="330" y="89"/>
                    </a:lnTo>
                    <a:lnTo>
                      <a:pt x="330" y="89"/>
                    </a:lnTo>
                    <a:lnTo>
                      <a:pt x="330" y="89"/>
                    </a:lnTo>
                    <a:lnTo>
                      <a:pt x="330" y="81"/>
                    </a:lnTo>
                    <a:lnTo>
                      <a:pt x="330" y="81"/>
                    </a:lnTo>
                    <a:lnTo>
                      <a:pt x="330" y="81"/>
                    </a:lnTo>
                    <a:lnTo>
                      <a:pt x="330" y="81"/>
                    </a:lnTo>
                    <a:lnTo>
                      <a:pt x="357" y="81"/>
                    </a:lnTo>
                    <a:lnTo>
                      <a:pt x="384" y="81"/>
                    </a:lnTo>
                    <a:lnTo>
                      <a:pt x="393" y="81"/>
                    </a:lnTo>
                    <a:lnTo>
                      <a:pt x="411" y="89"/>
                    </a:lnTo>
                    <a:lnTo>
                      <a:pt x="411" y="98"/>
                    </a:lnTo>
                    <a:lnTo>
                      <a:pt x="437" y="116"/>
                    </a:lnTo>
                    <a:lnTo>
                      <a:pt x="437" y="116"/>
                    </a:lnTo>
                    <a:lnTo>
                      <a:pt x="428" y="125"/>
                    </a:lnTo>
                    <a:lnTo>
                      <a:pt x="419" y="134"/>
                    </a:lnTo>
                    <a:lnTo>
                      <a:pt x="411" y="143"/>
                    </a:lnTo>
                    <a:lnTo>
                      <a:pt x="402" y="152"/>
                    </a:lnTo>
                    <a:lnTo>
                      <a:pt x="402" y="161"/>
                    </a:lnTo>
                    <a:lnTo>
                      <a:pt x="428" y="170"/>
                    </a:lnTo>
                    <a:lnTo>
                      <a:pt x="446" y="170"/>
                    </a:lnTo>
                    <a:lnTo>
                      <a:pt x="455" y="179"/>
                    </a:lnTo>
                    <a:lnTo>
                      <a:pt x="464" y="197"/>
                    </a:lnTo>
                    <a:lnTo>
                      <a:pt x="464" y="214"/>
                    </a:lnTo>
                    <a:lnTo>
                      <a:pt x="455" y="232"/>
                    </a:lnTo>
                    <a:lnTo>
                      <a:pt x="446" y="250"/>
                    </a:lnTo>
                    <a:lnTo>
                      <a:pt x="437" y="268"/>
                    </a:lnTo>
                    <a:lnTo>
                      <a:pt x="437" y="277"/>
                    </a:lnTo>
                    <a:lnTo>
                      <a:pt x="428" y="286"/>
                    </a:lnTo>
                    <a:lnTo>
                      <a:pt x="419" y="304"/>
                    </a:lnTo>
                    <a:lnTo>
                      <a:pt x="411" y="331"/>
                    </a:lnTo>
                    <a:lnTo>
                      <a:pt x="393" y="348"/>
                    </a:lnTo>
                    <a:lnTo>
                      <a:pt x="402" y="366"/>
                    </a:lnTo>
                    <a:lnTo>
                      <a:pt x="411" y="384"/>
                    </a:lnTo>
                    <a:lnTo>
                      <a:pt x="437" y="384"/>
                    </a:lnTo>
                    <a:lnTo>
                      <a:pt x="464" y="384"/>
                    </a:lnTo>
                    <a:lnTo>
                      <a:pt x="482" y="393"/>
                    </a:lnTo>
                    <a:lnTo>
                      <a:pt x="500" y="402"/>
                    </a:lnTo>
                    <a:lnTo>
                      <a:pt x="518" y="411"/>
                    </a:lnTo>
                  </a:path>
                </a:pathLst>
              </a:custGeom>
              <a:solidFill>
                <a:schemeClr val="accent6">
                  <a:lumMod val="60000"/>
                  <a:lumOff val="40000"/>
                </a:schemeClr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44" name="Freeform 67">
                <a:extLst>
                  <a:ext uri="{FF2B5EF4-FFF2-40B4-BE49-F238E27FC236}">
                    <a16:creationId xmlns:a16="http://schemas.microsoft.com/office/drawing/2014/main" id="{00000000-0008-0000-0C00-00002C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765" y="9446"/>
                <a:ext cx="356" cy="400"/>
              </a:xfrm>
              <a:custGeom>
                <a:avLst/>
                <a:gdLst>
                  <a:gd name="T0" fmla="*/ 9 w 161"/>
                  <a:gd name="T1" fmla="*/ 0 h 169"/>
                  <a:gd name="T2" fmla="*/ 18 w 161"/>
                  <a:gd name="T3" fmla="*/ 0 h 169"/>
                  <a:gd name="T4" fmla="*/ 27 w 161"/>
                  <a:gd name="T5" fmla="*/ 9 h 169"/>
                  <a:gd name="T6" fmla="*/ 27 w 161"/>
                  <a:gd name="T7" fmla="*/ 18 h 169"/>
                  <a:gd name="T8" fmla="*/ 36 w 161"/>
                  <a:gd name="T9" fmla="*/ 26 h 169"/>
                  <a:gd name="T10" fmla="*/ 45 w 161"/>
                  <a:gd name="T11" fmla="*/ 26 h 169"/>
                  <a:gd name="T12" fmla="*/ 54 w 161"/>
                  <a:gd name="T13" fmla="*/ 35 h 169"/>
                  <a:gd name="T14" fmla="*/ 63 w 161"/>
                  <a:gd name="T15" fmla="*/ 35 h 169"/>
                  <a:gd name="T16" fmla="*/ 72 w 161"/>
                  <a:gd name="T17" fmla="*/ 35 h 169"/>
                  <a:gd name="T18" fmla="*/ 90 w 161"/>
                  <a:gd name="T19" fmla="*/ 26 h 169"/>
                  <a:gd name="T20" fmla="*/ 98 w 161"/>
                  <a:gd name="T21" fmla="*/ 35 h 169"/>
                  <a:gd name="T22" fmla="*/ 107 w 161"/>
                  <a:gd name="T23" fmla="*/ 44 h 169"/>
                  <a:gd name="T24" fmla="*/ 116 w 161"/>
                  <a:gd name="T25" fmla="*/ 53 h 169"/>
                  <a:gd name="T26" fmla="*/ 116 w 161"/>
                  <a:gd name="T27" fmla="*/ 62 h 169"/>
                  <a:gd name="T28" fmla="*/ 125 w 161"/>
                  <a:gd name="T29" fmla="*/ 62 h 169"/>
                  <a:gd name="T30" fmla="*/ 125 w 161"/>
                  <a:gd name="T31" fmla="*/ 62 h 169"/>
                  <a:gd name="T32" fmla="*/ 134 w 161"/>
                  <a:gd name="T33" fmla="*/ 62 h 169"/>
                  <a:gd name="T34" fmla="*/ 152 w 161"/>
                  <a:gd name="T35" fmla="*/ 62 h 169"/>
                  <a:gd name="T36" fmla="*/ 152 w 161"/>
                  <a:gd name="T37" fmla="*/ 62 h 169"/>
                  <a:gd name="T38" fmla="*/ 152 w 161"/>
                  <a:gd name="T39" fmla="*/ 71 h 169"/>
                  <a:gd name="T40" fmla="*/ 152 w 161"/>
                  <a:gd name="T41" fmla="*/ 80 h 169"/>
                  <a:gd name="T42" fmla="*/ 161 w 161"/>
                  <a:gd name="T43" fmla="*/ 98 h 169"/>
                  <a:gd name="T44" fmla="*/ 152 w 161"/>
                  <a:gd name="T45" fmla="*/ 107 h 169"/>
                  <a:gd name="T46" fmla="*/ 152 w 161"/>
                  <a:gd name="T47" fmla="*/ 125 h 169"/>
                  <a:gd name="T48" fmla="*/ 152 w 161"/>
                  <a:gd name="T49" fmla="*/ 134 h 169"/>
                  <a:gd name="T50" fmla="*/ 143 w 161"/>
                  <a:gd name="T51" fmla="*/ 134 h 169"/>
                  <a:gd name="T52" fmla="*/ 143 w 161"/>
                  <a:gd name="T53" fmla="*/ 143 h 169"/>
                  <a:gd name="T54" fmla="*/ 125 w 161"/>
                  <a:gd name="T55" fmla="*/ 143 h 169"/>
                  <a:gd name="T56" fmla="*/ 125 w 161"/>
                  <a:gd name="T57" fmla="*/ 143 h 169"/>
                  <a:gd name="T58" fmla="*/ 125 w 161"/>
                  <a:gd name="T59" fmla="*/ 151 h 169"/>
                  <a:gd name="T60" fmla="*/ 116 w 161"/>
                  <a:gd name="T61" fmla="*/ 160 h 169"/>
                  <a:gd name="T62" fmla="*/ 116 w 161"/>
                  <a:gd name="T63" fmla="*/ 160 h 169"/>
                  <a:gd name="T64" fmla="*/ 107 w 161"/>
                  <a:gd name="T65" fmla="*/ 169 h 169"/>
                  <a:gd name="T66" fmla="*/ 98 w 161"/>
                  <a:gd name="T67" fmla="*/ 169 h 169"/>
                  <a:gd name="T68" fmla="*/ 90 w 161"/>
                  <a:gd name="T69" fmla="*/ 160 h 169"/>
                  <a:gd name="T70" fmla="*/ 72 w 161"/>
                  <a:gd name="T71" fmla="*/ 151 h 169"/>
                  <a:gd name="T72" fmla="*/ 63 w 161"/>
                  <a:gd name="T73" fmla="*/ 143 h 169"/>
                  <a:gd name="T74" fmla="*/ 63 w 161"/>
                  <a:gd name="T75" fmla="*/ 143 h 169"/>
                  <a:gd name="T76" fmla="*/ 54 w 161"/>
                  <a:gd name="T77" fmla="*/ 134 h 169"/>
                  <a:gd name="T78" fmla="*/ 45 w 161"/>
                  <a:gd name="T79" fmla="*/ 125 h 169"/>
                  <a:gd name="T80" fmla="*/ 36 w 161"/>
                  <a:gd name="T81" fmla="*/ 116 h 169"/>
                  <a:gd name="T82" fmla="*/ 27 w 161"/>
                  <a:gd name="T83" fmla="*/ 107 h 169"/>
                  <a:gd name="T84" fmla="*/ 27 w 161"/>
                  <a:gd name="T85" fmla="*/ 98 h 169"/>
                  <a:gd name="T86" fmla="*/ 18 w 161"/>
                  <a:gd name="T87" fmla="*/ 89 h 169"/>
                  <a:gd name="T88" fmla="*/ 9 w 161"/>
                  <a:gd name="T89" fmla="*/ 71 h 169"/>
                  <a:gd name="T90" fmla="*/ 9 w 161"/>
                  <a:gd name="T91" fmla="*/ 62 h 169"/>
                  <a:gd name="T92" fmla="*/ 0 w 161"/>
                  <a:gd name="T93" fmla="*/ 44 h 169"/>
                  <a:gd name="T94" fmla="*/ 0 w 161"/>
                  <a:gd name="T95" fmla="*/ 26 h 169"/>
                  <a:gd name="T96" fmla="*/ 0 w 161"/>
                  <a:gd name="T97" fmla="*/ 18 h 169"/>
                  <a:gd name="T98" fmla="*/ 0 w 161"/>
                  <a:gd name="T99" fmla="*/ 9 h 16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</a:cxnLst>
                <a:rect l="0" t="0" r="r" b="b"/>
                <a:pathLst>
                  <a:path w="161" h="169">
                    <a:moveTo>
                      <a:pt x="0" y="9"/>
                    </a:moveTo>
                    <a:lnTo>
                      <a:pt x="0" y="9"/>
                    </a:lnTo>
                    <a:lnTo>
                      <a:pt x="9" y="0"/>
                    </a:lnTo>
                    <a:lnTo>
                      <a:pt x="9" y="0"/>
                    </a:lnTo>
                    <a:lnTo>
                      <a:pt x="9" y="0"/>
                    </a:lnTo>
                    <a:lnTo>
                      <a:pt x="9" y="0"/>
                    </a:lnTo>
                    <a:lnTo>
                      <a:pt x="9" y="0"/>
                    </a:lnTo>
                    <a:lnTo>
                      <a:pt x="18" y="0"/>
                    </a:lnTo>
                    <a:lnTo>
                      <a:pt x="18" y="0"/>
                    </a:lnTo>
                    <a:lnTo>
                      <a:pt x="18" y="9"/>
                    </a:lnTo>
                    <a:lnTo>
                      <a:pt x="18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27" y="18"/>
                    </a:lnTo>
                    <a:lnTo>
                      <a:pt x="27" y="18"/>
                    </a:lnTo>
                    <a:lnTo>
                      <a:pt x="36" y="18"/>
                    </a:lnTo>
                    <a:lnTo>
                      <a:pt x="36" y="18"/>
                    </a:lnTo>
                    <a:lnTo>
                      <a:pt x="36" y="18"/>
                    </a:lnTo>
                    <a:lnTo>
                      <a:pt x="36" y="26"/>
                    </a:lnTo>
                    <a:lnTo>
                      <a:pt x="36" y="26"/>
                    </a:lnTo>
                    <a:lnTo>
                      <a:pt x="36" y="26"/>
                    </a:lnTo>
                    <a:lnTo>
                      <a:pt x="45" y="26"/>
                    </a:lnTo>
                    <a:lnTo>
                      <a:pt x="45" y="26"/>
                    </a:lnTo>
                    <a:lnTo>
                      <a:pt x="45" y="26"/>
                    </a:lnTo>
                    <a:lnTo>
                      <a:pt x="45" y="35"/>
                    </a:lnTo>
                    <a:lnTo>
                      <a:pt x="45" y="35"/>
                    </a:lnTo>
                    <a:lnTo>
                      <a:pt x="54" y="35"/>
                    </a:lnTo>
                    <a:lnTo>
                      <a:pt x="54" y="35"/>
                    </a:lnTo>
                    <a:lnTo>
                      <a:pt x="54" y="35"/>
                    </a:lnTo>
                    <a:lnTo>
                      <a:pt x="54" y="35"/>
                    </a:lnTo>
                    <a:lnTo>
                      <a:pt x="63" y="35"/>
                    </a:lnTo>
                    <a:lnTo>
                      <a:pt x="63" y="35"/>
                    </a:lnTo>
                    <a:lnTo>
                      <a:pt x="63" y="35"/>
                    </a:lnTo>
                    <a:lnTo>
                      <a:pt x="72" y="35"/>
                    </a:lnTo>
                    <a:lnTo>
                      <a:pt x="72" y="35"/>
                    </a:lnTo>
                    <a:lnTo>
                      <a:pt x="72" y="35"/>
                    </a:lnTo>
                    <a:lnTo>
                      <a:pt x="81" y="35"/>
                    </a:lnTo>
                    <a:lnTo>
                      <a:pt x="81" y="26"/>
                    </a:lnTo>
                    <a:lnTo>
                      <a:pt x="90" y="26"/>
                    </a:lnTo>
                    <a:lnTo>
                      <a:pt x="90" y="26"/>
                    </a:lnTo>
                    <a:lnTo>
                      <a:pt x="90" y="35"/>
                    </a:lnTo>
                    <a:lnTo>
                      <a:pt x="98" y="35"/>
                    </a:lnTo>
                    <a:lnTo>
                      <a:pt x="98" y="35"/>
                    </a:lnTo>
                    <a:lnTo>
                      <a:pt x="98" y="35"/>
                    </a:lnTo>
                    <a:lnTo>
                      <a:pt x="107" y="44"/>
                    </a:lnTo>
                    <a:lnTo>
                      <a:pt x="107" y="44"/>
                    </a:lnTo>
                    <a:lnTo>
                      <a:pt x="107" y="44"/>
                    </a:lnTo>
                    <a:lnTo>
                      <a:pt x="107" y="53"/>
                    </a:lnTo>
                    <a:lnTo>
                      <a:pt x="116" y="53"/>
                    </a:lnTo>
                    <a:lnTo>
                      <a:pt x="116" y="53"/>
                    </a:lnTo>
                    <a:lnTo>
                      <a:pt x="116" y="53"/>
                    </a:lnTo>
                    <a:lnTo>
                      <a:pt x="116" y="53"/>
                    </a:lnTo>
                    <a:lnTo>
                      <a:pt x="116" y="53"/>
                    </a:lnTo>
                    <a:lnTo>
                      <a:pt x="116" y="62"/>
                    </a:lnTo>
                    <a:lnTo>
                      <a:pt x="116" y="62"/>
                    </a:lnTo>
                    <a:lnTo>
                      <a:pt x="116" y="62"/>
                    </a:lnTo>
                    <a:lnTo>
                      <a:pt x="125" y="62"/>
                    </a:lnTo>
                    <a:lnTo>
                      <a:pt x="125" y="62"/>
                    </a:lnTo>
                    <a:lnTo>
                      <a:pt x="125" y="62"/>
                    </a:lnTo>
                    <a:lnTo>
                      <a:pt x="125" y="62"/>
                    </a:lnTo>
                    <a:lnTo>
                      <a:pt x="125" y="62"/>
                    </a:lnTo>
                    <a:lnTo>
                      <a:pt x="125" y="62"/>
                    </a:lnTo>
                    <a:lnTo>
                      <a:pt x="125" y="62"/>
                    </a:lnTo>
                    <a:lnTo>
                      <a:pt x="125" y="62"/>
                    </a:lnTo>
                    <a:lnTo>
                      <a:pt x="134" y="62"/>
                    </a:lnTo>
                    <a:lnTo>
                      <a:pt x="134" y="62"/>
                    </a:lnTo>
                    <a:lnTo>
                      <a:pt x="134" y="62"/>
                    </a:lnTo>
                    <a:lnTo>
                      <a:pt x="143" y="62"/>
                    </a:lnTo>
                    <a:lnTo>
                      <a:pt x="143" y="62"/>
                    </a:lnTo>
                    <a:lnTo>
                      <a:pt x="143" y="62"/>
                    </a:lnTo>
                    <a:lnTo>
                      <a:pt x="152" y="62"/>
                    </a:lnTo>
                    <a:lnTo>
                      <a:pt x="152" y="62"/>
                    </a:lnTo>
                    <a:lnTo>
                      <a:pt x="152" y="62"/>
                    </a:lnTo>
                    <a:lnTo>
                      <a:pt x="152" y="62"/>
                    </a:lnTo>
                    <a:lnTo>
                      <a:pt x="152" y="62"/>
                    </a:lnTo>
                    <a:lnTo>
                      <a:pt x="152" y="71"/>
                    </a:lnTo>
                    <a:lnTo>
                      <a:pt x="152" y="71"/>
                    </a:lnTo>
                    <a:lnTo>
                      <a:pt x="152" y="71"/>
                    </a:lnTo>
                    <a:lnTo>
                      <a:pt x="152" y="71"/>
                    </a:lnTo>
                    <a:lnTo>
                      <a:pt x="152" y="71"/>
                    </a:lnTo>
                    <a:lnTo>
                      <a:pt x="152" y="80"/>
                    </a:lnTo>
                    <a:lnTo>
                      <a:pt x="152" y="80"/>
                    </a:lnTo>
                    <a:lnTo>
                      <a:pt x="152" y="80"/>
                    </a:lnTo>
                    <a:lnTo>
                      <a:pt x="152" y="80"/>
                    </a:lnTo>
                    <a:lnTo>
                      <a:pt x="161" y="89"/>
                    </a:lnTo>
                    <a:lnTo>
                      <a:pt x="161" y="89"/>
                    </a:lnTo>
                    <a:lnTo>
                      <a:pt x="161" y="98"/>
                    </a:lnTo>
                    <a:lnTo>
                      <a:pt x="161" y="98"/>
                    </a:lnTo>
                    <a:lnTo>
                      <a:pt x="152" y="98"/>
                    </a:lnTo>
                    <a:lnTo>
                      <a:pt x="152" y="107"/>
                    </a:lnTo>
                    <a:lnTo>
                      <a:pt x="152" y="107"/>
                    </a:lnTo>
                    <a:lnTo>
                      <a:pt x="152" y="116"/>
                    </a:lnTo>
                    <a:lnTo>
                      <a:pt x="152" y="116"/>
                    </a:lnTo>
                    <a:lnTo>
                      <a:pt x="152" y="125"/>
                    </a:lnTo>
                    <a:lnTo>
                      <a:pt x="152" y="125"/>
                    </a:lnTo>
                    <a:lnTo>
                      <a:pt x="152" y="125"/>
                    </a:lnTo>
                    <a:lnTo>
                      <a:pt x="152" y="134"/>
                    </a:lnTo>
                    <a:lnTo>
                      <a:pt x="152" y="134"/>
                    </a:lnTo>
                    <a:lnTo>
                      <a:pt x="152" y="134"/>
                    </a:lnTo>
                    <a:lnTo>
                      <a:pt x="152" y="134"/>
                    </a:lnTo>
                    <a:lnTo>
                      <a:pt x="152" y="134"/>
                    </a:lnTo>
                    <a:lnTo>
                      <a:pt x="152" y="134"/>
                    </a:lnTo>
                    <a:lnTo>
                      <a:pt x="143" y="134"/>
                    </a:lnTo>
                    <a:lnTo>
                      <a:pt x="143" y="134"/>
                    </a:lnTo>
                    <a:lnTo>
                      <a:pt x="143" y="143"/>
                    </a:lnTo>
                    <a:lnTo>
                      <a:pt x="143" y="143"/>
                    </a:lnTo>
                    <a:lnTo>
                      <a:pt x="143" y="143"/>
                    </a:lnTo>
                    <a:lnTo>
                      <a:pt x="134" y="143"/>
                    </a:lnTo>
                    <a:lnTo>
                      <a:pt x="134" y="143"/>
                    </a:lnTo>
                    <a:lnTo>
                      <a:pt x="134" y="143"/>
                    </a:lnTo>
                    <a:lnTo>
                      <a:pt x="125" y="143"/>
                    </a:lnTo>
                    <a:lnTo>
                      <a:pt x="125" y="143"/>
                    </a:lnTo>
                    <a:lnTo>
                      <a:pt x="125" y="143"/>
                    </a:lnTo>
                    <a:lnTo>
                      <a:pt x="125" y="143"/>
                    </a:lnTo>
                    <a:lnTo>
                      <a:pt x="125" y="143"/>
                    </a:lnTo>
                    <a:lnTo>
                      <a:pt x="125" y="143"/>
                    </a:lnTo>
                    <a:lnTo>
                      <a:pt x="125" y="143"/>
                    </a:lnTo>
                    <a:lnTo>
                      <a:pt x="125" y="151"/>
                    </a:lnTo>
                    <a:lnTo>
                      <a:pt x="125" y="151"/>
                    </a:lnTo>
                    <a:lnTo>
                      <a:pt x="125" y="151"/>
                    </a:lnTo>
                    <a:lnTo>
                      <a:pt x="125" y="151"/>
                    </a:lnTo>
                    <a:lnTo>
                      <a:pt x="125" y="151"/>
                    </a:lnTo>
                    <a:lnTo>
                      <a:pt x="116" y="160"/>
                    </a:lnTo>
                    <a:lnTo>
                      <a:pt x="116" y="160"/>
                    </a:lnTo>
                    <a:lnTo>
                      <a:pt x="116" y="160"/>
                    </a:lnTo>
                    <a:lnTo>
                      <a:pt x="116" y="160"/>
                    </a:lnTo>
                    <a:lnTo>
                      <a:pt x="116" y="160"/>
                    </a:lnTo>
                    <a:lnTo>
                      <a:pt x="116" y="160"/>
                    </a:lnTo>
                    <a:lnTo>
                      <a:pt x="116" y="169"/>
                    </a:lnTo>
                    <a:lnTo>
                      <a:pt x="107" y="169"/>
                    </a:lnTo>
                    <a:lnTo>
                      <a:pt x="107" y="169"/>
                    </a:lnTo>
                    <a:lnTo>
                      <a:pt x="107" y="169"/>
                    </a:lnTo>
                    <a:lnTo>
                      <a:pt x="107" y="169"/>
                    </a:lnTo>
                    <a:lnTo>
                      <a:pt x="98" y="169"/>
                    </a:lnTo>
                    <a:lnTo>
                      <a:pt x="98" y="169"/>
                    </a:lnTo>
                    <a:lnTo>
                      <a:pt x="98" y="160"/>
                    </a:lnTo>
                    <a:lnTo>
                      <a:pt x="90" y="160"/>
                    </a:lnTo>
                    <a:lnTo>
                      <a:pt x="90" y="160"/>
                    </a:lnTo>
                    <a:lnTo>
                      <a:pt x="90" y="160"/>
                    </a:lnTo>
                    <a:lnTo>
                      <a:pt x="81" y="160"/>
                    </a:lnTo>
                    <a:lnTo>
                      <a:pt x="81" y="160"/>
                    </a:lnTo>
                    <a:lnTo>
                      <a:pt x="72" y="151"/>
                    </a:lnTo>
                    <a:lnTo>
                      <a:pt x="72" y="151"/>
                    </a:lnTo>
                    <a:lnTo>
                      <a:pt x="72" y="151"/>
                    </a:lnTo>
                    <a:lnTo>
                      <a:pt x="72" y="151"/>
                    </a:lnTo>
                    <a:lnTo>
                      <a:pt x="63" y="151"/>
                    </a:lnTo>
                    <a:lnTo>
                      <a:pt x="63" y="143"/>
                    </a:lnTo>
                    <a:lnTo>
                      <a:pt x="63" y="143"/>
                    </a:lnTo>
                    <a:lnTo>
                      <a:pt x="63" y="143"/>
                    </a:lnTo>
                    <a:lnTo>
                      <a:pt x="63" y="143"/>
                    </a:lnTo>
                    <a:lnTo>
                      <a:pt x="63" y="143"/>
                    </a:lnTo>
                    <a:lnTo>
                      <a:pt x="54" y="143"/>
                    </a:lnTo>
                    <a:lnTo>
                      <a:pt x="54" y="134"/>
                    </a:lnTo>
                    <a:lnTo>
                      <a:pt x="54" y="134"/>
                    </a:lnTo>
                    <a:lnTo>
                      <a:pt x="54" y="134"/>
                    </a:lnTo>
                    <a:lnTo>
                      <a:pt x="54" y="134"/>
                    </a:lnTo>
                    <a:lnTo>
                      <a:pt x="45" y="125"/>
                    </a:lnTo>
                    <a:lnTo>
                      <a:pt x="45" y="125"/>
                    </a:lnTo>
                    <a:lnTo>
                      <a:pt x="45" y="125"/>
                    </a:lnTo>
                    <a:lnTo>
                      <a:pt x="45" y="125"/>
                    </a:lnTo>
                    <a:lnTo>
                      <a:pt x="36" y="116"/>
                    </a:lnTo>
                    <a:lnTo>
                      <a:pt x="36" y="116"/>
                    </a:lnTo>
                    <a:lnTo>
                      <a:pt x="36" y="116"/>
                    </a:lnTo>
                    <a:lnTo>
                      <a:pt x="36" y="116"/>
                    </a:lnTo>
                    <a:lnTo>
                      <a:pt x="36" y="107"/>
                    </a:lnTo>
                    <a:lnTo>
                      <a:pt x="27" y="107"/>
                    </a:lnTo>
                    <a:lnTo>
                      <a:pt x="27" y="107"/>
                    </a:lnTo>
                    <a:lnTo>
                      <a:pt x="27" y="107"/>
                    </a:lnTo>
                    <a:lnTo>
                      <a:pt x="27" y="98"/>
                    </a:lnTo>
                    <a:lnTo>
                      <a:pt x="27" y="98"/>
                    </a:lnTo>
                    <a:lnTo>
                      <a:pt x="27" y="98"/>
                    </a:lnTo>
                    <a:lnTo>
                      <a:pt x="27" y="98"/>
                    </a:lnTo>
                    <a:lnTo>
                      <a:pt x="18" y="89"/>
                    </a:lnTo>
                    <a:lnTo>
                      <a:pt x="18" y="89"/>
                    </a:lnTo>
                    <a:lnTo>
                      <a:pt x="18" y="89"/>
                    </a:lnTo>
                    <a:lnTo>
                      <a:pt x="18" y="80"/>
                    </a:lnTo>
                    <a:lnTo>
                      <a:pt x="18" y="80"/>
                    </a:lnTo>
                    <a:lnTo>
                      <a:pt x="18" y="80"/>
                    </a:lnTo>
                    <a:lnTo>
                      <a:pt x="9" y="71"/>
                    </a:lnTo>
                    <a:lnTo>
                      <a:pt x="9" y="71"/>
                    </a:lnTo>
                    <a:lnTo>
                      <a:pt x="9" y="62"/>
                    </a:lnTo>
                    <a:lnTo>
                      <a:pt x="9" y="62"/>
                    </a:lnTo>
                    <a:lnTo>
                      <a:pt x="9" y="62"/>
                    </a:lnTo>
                    <a:lnTo>
                      <a:pt x="0" y="53"/>
                    </a:lnTo>
                    <a:lnTo>
                      <a:pt x="0" y="53"/>
                    </a:lnTo>
                    <a:lnTo>
                      <a:pt x="0" y="44"/>
                    </a:lnTo>
                    <a:lnTo>
                      <a:pt x="0" y="44"/>
                    </a:lnTo>
                    <a:lnTo>
                      <a:pt x="0" y="35"/>
                    </a:lnTo>
                    <a:lnTo>
                      <a:pt x="0" y="35"/>
                    </a:lnTo>
                    <a:lnTo>
                      <a:pt x="0" y="26"/>
                    </a:lnTo>
                    <a:lnTo>
                      <a:pt x="0" y="26"/>
                    </a:lnTo>
                    <a:lnTo>
                      <a:pt x="0" y="18"/>
                    </a:lnTo>
                    <a:lnTo>
                      <a:pt x="0" y="18"/>
                    </a:lnTo>
                    <a:lnTo>
                      <a:pt x="0" y="18"/>
                    </a:lnTo>
                    <a:lnTo>
                      <a:pt x="0" y="18"/>
                    </a:lnTo>
                    <a:lnTo>
                      <a:pt x="0" y="9"/>
                    </a:lnTo>
                    <a:lnTo>
                      <a:pt x="0" y="9"/>
                    </a:lnTo>
                    <a:lnTo>
                      <a:pt x="0" y="9"/>
                    </a:lnTo>
                    <a:lnTo>
                      <a:pt x="0" y="9"/>
                    </a:lnTo>
                    <a:lnTo>
                      <a:pt x="0" y="9"/>
                    </a:lnTo>
                  </a:path>
                </a:pathLst>
              </a:custGeom>
              <a:solidFill>
                <a:schemeClr val="accent6">
                  <a:lumMod val="60000"/>
                  <a:lumOff val="40000"/>
                </a:schemeClr>
              </a:solidFill>
              <a:ln w="15875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45" name="Freeform 68">
                <a:extLst>
                  <a:ext uri="{FF2B5EF4-FFF2-40B4-BE49-F238E27FC236}">
                    <a16:creationId xmlns:a16="http://schemas.microsoft.com/office/drawing/2014/main" id="{00000000-0008-0000-0C00-00002D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107" y="8321"/>
                <a:ext cx="1606" cy="953"/>
              </a:xfrm>
              <a:custGeom>
                <a:avLst/>
                <a:gdLst>
                  <a:gd name="T0" fmla="*/ 653 w 724"/>
                  <a:gd name="T1" fmla="*/ 233 h 402"/>
                  <a:gd name="T2" fmla="*/ 572 w 724"/>
                  <a:gd name="T3" fmla="*/ 143 h 402"/>
                  <a:gd name="T4" fmla="*/ 590 w 724"/>
                  <a:gd name="T5" fmla="*/ 81 h 402"/>
                  <a:gd name="T6" fmla="*/ 617 w 724"/>
                  <a:gd name="T7" fmla="*/ 63 h 402"/>
                  <a:gd name="T8" fmla="*/ 554 w 724"/>
                  <a:gd name="T9" fmla="*/ 45 h 402"/>
                  <a:gd name="T10" fmla="*/ 492 w 724"/>
                  <a:gd name="T11" fmla="*/ 36 h 402"/>
                  <a:gd name="T12" fmla="*/ 429 w 724"/>
                  <a:gd name="T13" fmla="*/ 18 h 402"/>
                  <a:gd name="T14" fmla="*/ 393 w 724"/>
                  <a:gd name="T15" fmla="*/ 18 h 402"/>
                  <a:gd name="T16" fmla="*/ 349 w 724"/>
                  <a:gd name="T17" fmla="*/ 27 h 402"/>
                  <a:gd name="T18" fmla="*/ 304 w 724"/>
                  <a:gd name="T19" fmla="*/ 54 h 402"/>
                  <a:gd name="T20" fmla="*/ 286 w 724"/>
                  <a:gd name="T21" fmla="*/ 99 h 402"/>
                  <a:gd name="T22" fmla="*/ 224 w 724"/>
                  <a:gd name="T23" fmla="*/ 125 h 402"/>
                  <a:gd name="T24" fmla="*/ 161 w 724"/>
                  <a:gd name="T25" fmla="*/ 143 h 402"/>
                  <a:gd name="T26" fmla="*/ 72 w 724"/>
                  <a:gd name="T27" fmla="*/ 179 h 402"/>
                  <a:gd name="T28" fmla="*/ 27 w 724"/>
                  <a:gd name="T29" fmla="*/ 197 h 402"/>
                  <a:gd name="T30" fmla="*/ 0 w 724"/>
                  <a:gd name="T31" fmla="*/ 277 h 402"/>
                  <a:gd name="T32" fmla="*/ 9 w 724"/>
                  <a:gd name="T33" fmla="*/ 277 h 402"/>
                  <a:gd name="T34" fmla="*/ 18 w 724"/>
                  <a:gd name="T35" fmla="*/ 277 h 402"/>
                  <a:gd name="T36" fmla="*/ 27 w 724"/>
                  <a:gd name="T37" fmla="*/ 277 h 402"/>
                  <a:gd name="T38" fmla="*/ 36 w 724"/>
                  <a:gd name="T39" fmla="*/ 277 h 402"/>
                  <a:gd name="T40" fmla="*/ 45 w 724"/>
                  <a:gd name="T41" fmla="*/ 286 h 402"/>
                  <a:gd name="T42" fmla="*/ 54 w 724"/>
                  <a:gd name="T43" fmla="*/ 286 h 402"/>
                  <a:gd name="T44" fmla="*/ 54 w 724"/>
                  <a:gd name="T45" fmla="*/ 286 h 402"/>
                  <a:gd name="T46" fmla="*/ 63 w 724"/>
                  <a:gd name="T47" fmla="*/ 295 h 402"/>
                  <a:gd name="T48" fmla="*/ 72 w 724"/>
                  <a:gd name="T49" fmla="*/ 295 h 402"/>
                  <a:gd name="T50" fmla="*/ 72 w 724"/>
                  <a:gd name="T51" fmla="*/ 295 h 402"/>
                  <a:gd name="T52" fmla="*/ 81 w 724"/>
                  <a:gd name="T53" fmla="*/ 295 h 402"/>
                  <a:gd name="T54" fmla="*/ 90 w 724"/>
                  <a:gd name="T55" fmla="*/ 295 h 402"/>
                  <a:gd name="T56" fmla="*/ 90 w 724"/>
                  <a:gd name="T57" fmla="*/ 313 h 402"/>
                  <a:gd name="T58" fmla="*/ 90 w 724"/>
                  <a:gd name="T59" fmla="*/ 322 h 402"/>
                  <a:gd name="T60" fmla="*/ 90 w 724"/>
                  <a:gd name="T61" fmla="*/ 340 h 402"/>
                  <a:gd name="T62" fmla="*/ 99 w 724"/>
                  <a:gd name="T63" fmla="*/ 349 h 402"/>
                  <a:gd name="T64" fmla="*/ 99 w 724"/>
                  <a:gd name="T65" fmla="*/ 358 h 402"/>
                  <a:gd name="T66" fmla="*/ 99 w 724"/>
                  <a:gd name="T67" fmla="*/ 367 h 402"/>
                  <a:gd name="T68" fmla="*/ 108 w 724"/>
                  <a:gd name="T69" fmla="*/ 375 h 402"/>
                  <a:gd name="T70" fmla="*/ 126 w 724"/>
                  <a:gd name="T71" fmla="*/ 375 h 402"/>
                  <a:gd name="T72" fmla="*/ 134 w 724"/>
                  <a:gd name="T73" fmla="*/ 375 h 402"/>
                  <a:gd name="T74" fmla="*/ 152 w 724"/>
                  <a:gd name="T75" fmla="*/ 375 h 402"/>
                  <a:gd name="T76" fmla="*/ 161 w 724"/>
                  <a:gd name="T77" fmla="*/ 375 h 402"/>
                  <a:gd name="T78" fmla="*/ 179 w 724"/>
                  <a:gd name="T79" fmla="*/ 367 h 402"/>
                  <a:gd name="T80" fmla="*/ 188 w 724"/>
                  <a:gd name="T81" fmla="*/ 367 h 402"/>
                  <a:gd name="T82" fmla="*/ 206 w 724"/>
                  <a:gd name="T83" fmla="*/ 367 h 402"/>
                  <a:gd name="T84" fmla="*/ 206 w 724"/>
                  <a:gd name="T85" fmla="*/ 358 h 402"/>
                  <a:gd name="T86" fmla="*/ 215 w 724"/>
                  <a:gd name="T87" fmla="*/ 349 h 402"/>
                  <a:gd name="T88" fmla="*/ 206 w 724"/>
                  <a:gd name="T89" fmla="*/ 340 h 402"/>
                  <a:gd name="T90" fmla="*/ 206 w 724"/>
                  <a:gd name="T91" fmla="*/ 340 h 402"/>
                  <a:gd name="T92" fmla="*/ 233 w 724"/>
                  <a:gd name="T93" fmla="*/ 304 h 402"/>
                  <a:gd name="T94" fmla="*/ 277 w 724"/>
                  <a:gd name="T95" fmla="*/ 295 h 402"/>
                  <a:gd name="T96" fmla="*/ 322 w 724"/>
                  <a:gd name="T97" fmla="*/ 340 h 402"/>
                  <a:gd name="T98" fmla="*/ 385 w 724"/>
                  <a:gd name="T99" fmla="*/ 349 h 402"/>
                  <a:gd name="T100" fmla="*/ 429 w 724"/>
                  <a:gd name="T101" fmla="*/ 384 h 402"/>
                  <a:gd name="T102" fmla="*/ 429 w 724"/>
                  <a:gd name="T103" fmla="*/ 384 h 402"/>
                  <a:gd name="T104" fmla="*/ 429 w 724"/>
                  <a:gd name="T105" fmla="*/ 375 h 402"/>
                  <a:gd name="T106" fmla="*/ 438 w 724"/>
                  <a:gd name="T107" fmla="*/ 375 h 402"/>
                  <a:gd name="T108" fmla="*/ 438 w 724"/>
                  <a:gd name="T109" fmla="*/ 367 h 402"/>
                  <a:gd name="T110" fmla="*/ 519 w 724"/>
                  <a:gd name="T111" fmla="*/ 375 h 402"/>
                  <a:gd name="T112" fmla="*/ 563 w 724"/>
                  <a:gd name="T113" fmla="*/ 393 h 402"/>
                  <a:gd name="T114" fmla="*/ 617 w 724"/>
                  <a:gd name="T115" fmla="*/ 349 h 402"/>
                  <a:gd name="T116" fmla="*/ 661 w 724"/>
                  <a:gd name="T117" fmla="*/ 331 h 402"/>
                  <a:gd name="T118" fmla="*/ 706 w 724"/>
                  <a:gd name="T119" fmla="*/ 322 h 402"/>
                  <a:gd name="T120" fmla="*/ 724 w 724"/>
                  <a:gd name="T121" fmla="*/ 286 h 40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</a:cxnLst>
                <a:rect l="0" t="0" r="r" b="b"/>
                <a:pathLst>
                  <a:path w="724" h="402">
                    <a:moveTo>
                      <a:pt x="724" y="286"/>
                    </a:moveTo>
                    <a:lnTo>
                      <a:pt x="706" y="259"/>
                    </a:lnTo>
                    <a:lnTo>
                      <a:pt x="679" y="242"/>
                    </a:lnTo>
                    <a:lnTo>
                      <a:pt x="653" y="233"/>
                    </a:lnTo>
                    <a:lnTo>
                      <a:pt x="635" y="224"/>
                    </a:lnTo>
                    <a:lnTo>
                      <a:pt x="608" y="188"/>
                    </a:lnTo>
                    <a:lnTo>
                      <a:pt x="599" y="161"/>
                    </a:lnTo>
                    <a:lnTo>
                      <a:pt x="572" y="143"/>
                    </a:lnTo>
                    <a:lnTo>
                      <a:pt x="572" y="125"/>
                    </a:lnTo>
                    <a:lnTo>
                      <a:pt x="581" y="108"/>
                    </a:lnTo>
                    <a:lnTo>
                      <a:pt x="581" y="90"/>
                    </a:lnTo>
                    <a:lnTo>
                      <a:pt x="590" y="81"/>
                    </a:lnTo>
                    <a:lnTo>
                      <a:pt x="599" y="81"/>
                    </a:lnTo>
                    <a:lnTo>
                      <a:pt x="608" y="81"/>
                    </a:lnTo>
                    <a:lnTo>
                      <a:pt x="617" y="81"/>
                    </a:lnTo>
                    <a:lnTo>
                      <a:pt x="617" y="63"/>
                    </a:lnTo>
                    <a:lnTo>
                      <a:pt x="608" y="63"/>
                    </a:lnTo>
                    <a:lnTo>
                      <a:pt x="590" y="54"/>
                    </a:lnTo>
                    <a:lnTo>
                      <a:pt x="572" y="45"/>
                    </a:lnTo>
                    <a:lnTo>
                      <a:pt x="554" y="45"/>
                    </a:lnTo>
                    <a:lnTo>
                      <a:pt x="527" y="45"/>
                    </a:lnTo>
                    <a:lnTo>
                      <a:pt x="510" y="45"/>
                    </a:lnTo>
                    <a:lnTo>
                      <a:pt x="501" y="45"/>
                    </a:lnTo>
                    <a:lnTo>
                      <a:pt x="492" y="36"/>
                    </a:lnTo>
                    <a:lnTo>
                      <a:pt x="492" y="27"/>
                    </a:lnTo>
                    <a:lnTo>
                      <a:pt x="474" y="27"/>
                    </a:lnTo>
                    <a:lnTo>
                      <a:pt x="456" y="18"/>
                    </a:lnTo>
                    <a:lnTo>
                      <a:pt x="429" y="18"/>
                    </a:lnTo>
                    <a:lnTo>
                      <a:pt x="411" y="18"/>
                    </a:lnTo>
                    <a:lnTo>
                      <a:pt x="402" y="18"/>
                    </a:lnTo>
                    <a:lnTo>
                      <a:pt x="402" y="0"/>
                    </a:lnTo>
                    <a:lnTo>
                      <a:pt x="393" y="18"/>
                    </a:lnTo>
                    <a:lnTo>
                      <a:pt x="385" y="27"/>
                    </a:lnTo>
                    <a:lnTo>
                      <a:pt x="385" y="27"/>
                    </a:lnTo>
                    <a:lnTo>
                      <a:pt x="367" y="27"/>
                    </a:lnTo>
                    <a:lnTo>
                      <a:pt x="349" y="27"/>
                    </a:lnTo>
                    <a:lnTo>
                      <a:pt x="340" y="27"/>
                    </a:lnTo>
                    <a:lnTo>
                      <a:pt x="322" y="36"/>
                    </a:lnTo>
                    <a:lnTo>
                      <a:pt x="304" y="45"/>
                    </a:lnTo>
                    <a:lnTo>
                      <a:pt x="304" y="54"/>
                    </a:lnTo>
                    <a:lnTo>
                      <a:pt x="304" y="63"/>
                    </a:lnTo>
                    <a:lnTo>
                      <a:pt x="286" y="63"/>
                    </a:lnTo>
                    <a:lnTo>
                      <a:pt x="286" y="81"/>
                    </a:lnTo>
                    <a:lnTo>
                      <a:pt x="286" y="99"/>
                    </a:lnTo>
                    <a:lnTo>
                      <a:pt x="277" y="108"/>
                    </a:lnTo>
                    <a:lnTo>
                      <a:pt x="277" y="125"/>
                    </a:lnTo>
                    <a:lnTo>
                      <a:pt x="251" y="125"/>
                    </a:lnTo>
                    <a:lnTo>
                      <a:pt x="224" y="125"/>
                    </a:lnTo>
                    <a:lnTo>
                      <a:pt x="197" y="125"/>
                    </a:lnTo>
                    <a:lnTo>
                      <a:pt x="179" y="125"/>
                    </a:lnTo>
                    <a:lnTo>
                      <a:pt x="170" y="134"/>
                    </a:lnTo>
                    <a:lnTo>
                      <a:pt x="161" y="143"/>
                    </a:lnTo>
                    <a:lnTo>
                      <a:pt x="134" y="161"/>
                    </a:lnTo>
                    <a:lnTo>
                      <a:pt x="117" y="170"/>
                    </a:lnTo>
                    <a:lnTo>
                      <a:pt x="99" y="179"/>
                    </a:lnTo>
                    <a:lnTo>
                      <a:pt x="72" y="179"/>
                    </a:lnTo>
                    <a:lnTo>
                      <a:pt x="63" y="170"/>
                    </a:lnTo>
                    <a:lnTo>
                      <a:pt x="54" y="179"/>
                    </a:lnTo>
                    <a:lnTo>
                      <a:pt x="36" y="188"/>
                    </a:lnTo>
                    <a:lnTo>
                      <a:pt x="27" y="197"/>
                    </a:lnTo>
                    <a:lnTo>
                      <a:pt x="9" y="224"/>
                    </a:lnTo>
                    <a:lnTo>
                      <a:pt x="0" y="233"/>
                    </a:lnTo>
                    <a:lnTo>
                      <a:pt x="0" y="259"/>
                    </a:lnTo>
                    <a:lnTo>
                      <a:pt x="0" y="277"/>
                    </a:lnTo>
                    <a:lnTo>
                      <a:pt x="0" y="277"/>
                    </a:lnTo>
                    <a:lnTo>
                      <a:pt x="9" y="277"/>
                    </a:lnTo>
                    <a:lnTo>
                      <a:pt x="9" y="277"/>
                    </a:lnTo>
                    <a:lnTo>
                      <a:pt x="9" y="277"/>
                    </a:lnTo>
                    <a:lnTo>
                      <a:pt x="9" y="277"/>
                    </a:lnTo>
                    <a:lnTo>
                      <a:pt x="18" y="277"/>
                    </a:lnTo>
                    <a:lnTo>
                      <a:pt x="18" y="277"/>
                    </a:lnTo>
                    <a:lnTo>
                      <a:pt x="18" y="277"/>
                    </a:lnTo>
                    <a:lnTo>
                      <a:pt x="18" y="277"/>
                    </a:lnTo>
                    <a:lnTo>
                      <a:pt x="18" y="277"/>
                    </a:lnTo>
                    <a:lnTo>
                      <a:pt x="27" y="277"/>
                    </a:lnTo>
                    <a:lnTo>
                      <a:pt x="27" y="277"/>
                    </a:lnTo>
                    <a:lnTo>
                      <a:pt x="27" y="277"/>
                    </a:lnTo>
                    <a:lnTo>
                      <a:pt x="27" y="277"/>
                    </a:lnTo>
                    <a:lnTo>
                      <a:pt x="36" y="277"/>
                    </a:lnTo>
                    <a:lnTo>
                      <a:pt x="36" y="277"/>
                    </a:lnTo>
                    <a:lnTo>
                      <a:pt x="36" y="277"/>
                    </a:lnTo>
                    <a:lnTo>
                      <a:pt x="36" y="277"/>
                    </a:lnTo>
                    <a:lnTo>
                      <a:pt x="45" y="277"/>
                    </a:lnTo>
                    <a:lnTo>
                      <a:pt x="45" y="286"/>
                    </a:lnTo>
                    <a:lnTo>
                      <a:pt x="45" y="286"/>
                    </a:lnTo>
                    <a:lnTo>
                      <a:pt x="45" y="286"/>
                    </a:lnTo>
                    <a:lnTo>
                      <a:pt x="54" y="286"/>
                    </a:lnTo>
                    <a:lnTo>
                      <a:pt x="54" y="286"/>
                    </a:lnTo>
                    <a:lnTo>
                      <a:pt x="54" y="286"/>
                    </a:lnTo>
                    <a:lnTo>
                      <a:pt x="54" y="286"/>
                    </a:lnTo>
                    <a:lnTo>
                      <a:pt x="54" y="286"/>
                    </a:lnTo>
                    <a:lnTo>
                      <a:pt x="54" y="286"/>
                    </a:lnTo>
                    <a:lnTo>
                      <a:pt x="63" y="295"/>
                    </a:lnTo>
                    <a:lnTo>
                      <a:pt x="63" y="295"/>
                    </a:lnTo>
                    <a:lnTo>
                      <a:pt x="63" y="295"/>
                    </a:lnTo>
                    <a:lnTo>
                      <a:pt x="63" y="295"/>
                    </a:lnTo>
                    <a:lnTo>
                      <a:pt x="63" y="295"/>
                    </a:lnTo>
                    <a:lnTo>
                      <a:pt x="63" y="295"/>
                    </a:lnTo>
                    <a:lnTo>
                      <a:pt x="72" y="295"/>
                    </a:lnTo>
                    <a:lnTo>
                      <a:pt x="72" y="295"/>
                    </a:lnTo>
                    <a:lnTo>
                      <a:pt x="72" y="295"/>
                    </a:lnTo>
                    <a:lnTo>
                      <a:pt x="72" y="295"/>
                    </a:lnTo>
                    <a:lnTo>
                      <a:pt x="72" y="295"/>
                    </a:lnTo>
                    <a:lnTo>
                      <a:pt x="72" y="295"/>
                    </a:lnTo>
                    <a:lnTo>
                      <a:pt x="72" y="295"/>
                    </a:lnTo>
                    <a:lnTo>
                      <a:pt x="81" y="295"/>
                    </a:lnTo>
                    <a:lnTo>
                      <a:pt x="81" y="295"/>
                    </a:lnTo>
                    <a:lnTo>
                      <a:pt x="81" y="295"/>
                    </a:lnTo>
                    <a:lnTo>
                      <a:pt x="81" y="295"/>
                    </a:lnTo>
                    <a:lnTo>
                      <a:pt x="81" y="295"/>
                    </a:lnTo>
                    <a:lnTo>
                      <a:pt x="81" y="295"/>
                    </a:lnTo>
                    <a:lnTo>
                      <a:pt x="90" y="295"/>
                    </a:lnTo>
                    <a:lnTo>
                      <a:pt x="90" y="304"/>
                    </a:lnTo>
                    <a:lnTo>
                      <a:pt x="90" y="304"/>
                    </a:lnTo>
                    <a:lnTo>
                      <a:pt x="90" y="304"/>
                    </a:lnTo>
                    <a:lnTo>
                      <a:pt x="90" y="313"/>
                    </a:lnTo>
                    <a:lnTo>
                      <a:pt x="90" y="313"/>
                    </a:lnTo>
                    <a:lnTo>
                      <a:pt x="90" y="322"/>
                    </a:lnTo>
                    <a:lnTo>
                      <a:pt x="90" y="322"/>
                    </a:lnTo>
                    <a:lnTo>
                      <a:pt x="90" y="322"/>
                    </a:lnTo>
                    <a:lnTo>
                      <a:pt x="90" y="331"/>
                    </a:lnTo>
                    <a:lnTo>
                      <a:pt x="90" y="331"/>
                    </a:lnTo>
                    <a:lnTo>
                      <a:pt x="90" y="331"/>
                    </a:lnTo>
                    <a:lnTo>
                      <a:pt x="90" y="340"/>
                    </a:lnTo>
                    <a:lnTo>
                      <a:pt x="90" y="340"/>
                    </a:lnTo>
                    <a:lnTo>
                      <a:pt x="90" y="340"/>
                    </a:lnTo>
                    <a:lnTo>
                      <a:pt x="90" y="340"/>
                    </a:lnTo>
                    <a:lnTo>
                      <a:pt x="99" y="349"/>
                    </a:lnTo>
                    <a:lnTo>
                      <a:pt x="99" y="349"/>
                    </a:lnTo>
                    <a:lnTo>
                      <a:pt x="99" y="349"/>
                    </a:lnTo>
                    <a:lnTo>
                      <a:pt x="99" y="358"/>
                    </a:lnTo>
                    <a:lnTo>
                      <a:pt x="99" y="358"/>
                    </a:lnTo>
                    <a:lnTo>
                      <a:pt x="99" y="358"/>
                    </a:lnTo>
                    <a:lnTo>
                      <a:pt x="99" y="367"/>
                    </a:lnTo>
                    <a:lnTo>
                      <a:pt x="99" y="367"/>
                    </a:lnTo>
                    <a:lnTo>
                      <a:pt x="99" y="367"/>
                    </a:lnTo>
                    <a:lnTo>
                      <a:pt x="108" y="367"/>
                    </a:lnTo>
                    <a:lnTo>
                      <a:pt x="108" y="367"/>
                    </a:lnTo>
                    <a:lnTo>
                      <a:pt x="108" y="375"/>
                    </a:lnTo>
                    <a:lnTo>
                      <a:pt x="108" y="375"/>
                    </a:lnTo>
                    <a:lnTo>
                      <a:pt x="117" y="375"/>
                    </a:lnTo>
                    <a:lnTo>
                      <a:pt x="117" y="375"/>
                    </a:lnTo>
                    <a:lnTo>
                      <a:pt x="117" y="375"/>
                    </a:lnTo>
                    <a:lnTo>
                      <a:pt x="126" y="375"/>
                    </a:lnTo>
                    <a:lnTo>
                      <a:pt x="126" y="375"/>
                    </a:lnTo>
                    <a:lnTo>
                      <a:pt x="134" y="375"/>
                    </a:lnTo>
                    <a:lnTo>
                      <a:pt x="134" y="375"/>
                    </a:lnTo>
                    <a:lnTo>
                      <a:pt x="134" y="375"/>
                    </a:lnTo>
                    <a:lnTo>
                      <a:pt x="143" y="375"/>
                    </a:lnTo>
                    <a:lnTo>
                      <a:pt x="143" y="375"/>
                    </a:lnTo>
                    <a:lnTo>
                      <a:pt x="152" y="375"/>
                    </a:lnTo>
                    <a:lnTo>
                      <a:pt x="152" y="375"/>
                    </a:lnTo>
                    <a:lnTo>
                      <a:pt x="161" y="375"/>
                    </a:lnTo>
                    <a:lnTo>
                      <a:pt x="161" y="375"/>
                    </a:lnTo>
                    <a:lnTo>
                      <a:pt x="161" y="375"/>
                    </a:lnTo>
                    <a:lnTo>
                      <a:pt x="161" y="375"/>
                    </a:lnTo>
                    <a:lnTo>
                      <a:pt x="170" y="375"/>
                    </a:lnTo>
                    <a:lnTo>
                      <a:pt x="170" y="375"/>
                    </a:lnTo>
                    <a:lnTo>
                      <a:pt x="170" y="375"/>
                    </a:lnTo>
                    <a:lnTo>
                      <a:pt x="179" y="367"/>
                    </a:lnTo>
                    <a:lnTo>
                      <a:pt x="179" y="367"/>
                    </a:lnTo>
                    <a:lnTo>
                      <a:pt x="179" y="367"/>
                    </a:lnTo>
                    <a:lnTo>
                      <a:pt x="188" y="367"/>
                    </a:lnTo>
                    <a:lnTo>
                      <a:pt x="188" y="367"/>
                    </a:lnTo>
                    <a:lnTo>
                      <a:pt x="188" y="367"/>
                    </a:lnTo>
                    <a:lnTo>
                      <a:pt x="197" y="367"/>
                    </a:lnTo>
                    <a:lnTo>
                      <a:pt x="197" y="367"/>
                    </a:lnTo>
                    <a:lnTo>
                      <a:pt x="206" y="367"/>
                    </a:lnTo>
                    <a:lnTo>
                      <a:pt x="206" y="358"/>
                    </a:lnTo>
                    <a:lnTo>
                      <a:pt x="206" y="358"/>
                    </a:lnTo>
                    <a:lnTo>
                      <a:pt x="206" y="358"/>
                    </a:lnTo>
                    <a:lnTo>
                      <a:pt x="206" y="358"/>
                    </a:lnTo>
                    <a:lnTo>
                      <a:pt x="206" y="358"/>
                    </a:lnTo>
                    <a:lnTo>
                      <a:pt x="206" y="358"/>
                    </a:lnTo>
                    <a:lnTo>
                      <a:pt x="206" y="349"/>
                    </a:lnTo>
                    <a:lnTo>
                      <a:pt x="215" y="349"/>
                    </a:lnTo>
                    <a:lnTo>
                      <a:pt x="206" y="349"/>
                    </a:lnTo>
                    <a:lnTo>
                      <a:pt x="206" y="349"/>
                    </a:lnTo>
                    <a:lnTo>
                      <a:pt x="206" y="340"/>
                    </a:lnTo>
                    <a:lnTo>
                      <a:pt x="206" y="340"/>
                    </a:lnTo>
                    <a:lnTo>
                      <a:pt x="206" y="340"/>
                    </a:lnTo>
                    <a:lnTo>
                      <a:pt x="206" y="340"/>
                    </a:lnTo>
                    <a:lnTo>
                      <a:pt x="206" y="340"/>
                    </a:lnTo>
                    <a:lnTo>
                      <a:pt x="206" y="340"/>
                    </a:lnTo>
                    <a:lnTo>
                      <a:pt x="206" y="322"/>
                    </a:lnTo>
                    <a:lnTo>
                      <a:pt x="197" y="304"/>
                    </a:lnTo>
                    <a:lnTo>
                      <a:pt x="215" y="304"/>
                    </a:lnTo>
                    <a:lnTo>
                      <a:pt x="233" y="304"/>
                    </a:lnTo>
                    <a:lnTo>
                      <a:pt x="233" y="286"/>
                    </a:lnTo>
                    <a:lnTo>
                      <a:pt x="242" y="286"/>
                    </a:lnTo>
                    <a:lnTo>
                      <a:pt x="260" y="286"/>
                    </a:lnTo>
                    <a:lnTo>
                      <a:pt x="277" y="295"/>
                    </a:lnTo>
                    <a:lnTo>
                      <a:pt x="286" y="304"/>
                    </a:lnTo>
                    <a:lnTo>
                      <a:pt x="286" y="322"/>
                    </a:lnTo>
                    <a:lnTo>
                      <a:pt x="304" y="322"/>
                    </a:lnTo>
                    <a:lnTo>
                      <a:pt x="322" y="340"/>
                    </a:lnTo>
                    <a:lnTo>
                      <a:pt x="340" y="349"/>
                    </a:lnTo>
                    <a:lnTo>
                      <a:pt x="340" y="358"/>
                    </a:lnTo>
                    <a:lnTo>
                      <a:pt x="367" y="358"/>
                    </a:lnTo>
                    <a:lnTo>
                      <a:pt x="385" y="349"/>
                    </a:lnTo>
                    <a:lnTo>
                      <a:pt x="393" y="358"/>
                    </a:lnTo>
                    <a:lnTo>
                      <a:pt x="402" y="375"/>
                    </a:lnTo>
                    <a:lnTo>
                      <a:pt x="411" y="384"/>
                    </a:lnTo>
                    <a:lnTo>
                      <a:pt x="429" y="384"/>
                    </a:lnTo>
                    <a:lnTo>
                      <a:pt x="429" y="384"/>
                    </a:lnTo>
                    <a:lnTo>
                      <a:pt x="429" y="384"/>
                    </a:lnTo>
                    <a:lnTo>
                      <a:pt x="429" y="384"/>
                    </a:lnTo>
                    <a:lnTo>
                      <a:pt x="429" y="384"/>
                    </a:lnTo>
                    <a:lnTo>
                      <a:pt x="429" y="384"/>
                    </a:lnTo>
                    <a:lnTo>
                      <a:pt x="429" y="375"/>
                    </a:lnTo>
                    <a:lnTo>
                      <a:pt x="429" y="375"/>
                    </a:lnTo>
                    <a:lnTo>
                      <a:pt x="429" y="375"/>
                    </a:lnTo>
                    <a:lnTo>
                      <a:pt x="429" y="375"/>
                    </a:lnTo>
                    <a:lnTo>
                      <a:pt x="438" y="375"/>
                    </a:lnTo>
                    <a:lnTo>
                      <a:pt x="438" y="375"/>
                    </a:lnTo>
                    <a:lnTo>
                      <a:pt x="438" y="375"/>
                    </a:lnTo>
                    <a:lnTo>
                      <a:pt x="438" y="367"/>
                    </a:lnTo>
                    <a:lnTo>
                      <a:pt x="438" y="367"/>
                    </a:lnTo>
                    <a:lnTo>
                      <a:pt x="438" y="367"/>
                    </a:lnTo>
                    <a:lnTo>
                      <a:pt x="438" y="367"/>
                    </a:lnTo>
                    <a:lnTo>
                      <a:pt x="465" y="367"/>
                    </a:lnTo>
                    <a:lnTo>
                      <a:pt x="492" y="367"/>
                    </a:lnTo>
                    <a:lnTo>
                      <a:pt x="501" y="367"/>
                    </a:lnTo>
                    <a:lnTo>
                      <a:pt x="519" y="375"/>
                    </a:lnTo>
                    <a:lnTo>
                      <a:pt x="519" y="384"/>
                    </a:lnTo>
                    <a:lnTo>
                      <a:pt x="545" y="402"/>
                    </a:lnTo>
                    <a:lnTo>
                      <a:pt x="554" y="393"/>
                    </a:lnTo>
                    <a:lnTo>
                      <a:pt x="563" y="393"/>
                    </a:lnTo>
                    <a:lnTo>
                      <a:pt x="581" y="384"/>
                    </a:lnTo>
                    <a:lnTo>
                      <a:pt x="590" y="375"/>
                    </a:lnTo>
                    <a:lnTo>
                      <a:pt x="608" y="367"/>
                    </a:lnTo>
                    <a:lnTo>
                      <a:pt x="617" y="349"/>
                    </a:lnTo>
                    <a:lnTo>
                      <a:pt x="617" y="331"/>
                    </a:lnTo>
                    <a:lnTo>
                      <a:pt x="626" y="322"/>
                    </a:lnTo>
                    <a:lnTo>
                      <a:pt x="644" y="322"/>
                    </a:lnTo>
                    <a:lnTo>
                      <a:pt x="661" y="331"/>
                    </a:lnTo>
                    <a:lnTo>
                      <a:pt x="679" y="331"/>
                    </a:lnTo>
                    <a:lnTo>
                      <a:pt x="697" y="331"/>
                    </a:lnTo>
                    <a:lnTo>
                      <a:pt x="706" y="331"/>
                    </a:lnTo>
                    <a:lnTo>
                      <a:pt x="706" y="322"/>
                    </a:lnTo>
                    <a:lnTo>
                      <a:pt x="706" y="313"/>
                    </a:lnTo>
                    <a:lnTo>
                      <a:pt x="706" y="295"/>
                    </a:lnTo>
                    <a:lnTo>
                      <a:pt x="715" y="295"/>
                    </a:lnTo>
                    <a:lnTo>
                      <a:pt x="724" y="286"/>
                    </a:lnTo>
                  </a:path>
                </a:pathLst>
              </a:custGeom>
              <a:solidFill>
                <a:schemeClr val="accent6">
                  <a:lumMod val="75000"/>
                </a:schemeClr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46" name="Freeform 69">
                <a:extLst>
                  <a:ext uri="{FF2B5EF4-FFF2-40B4-BE49-F238E27FC236}">
                    <a16:creationId xmlns:a16="http://schemas.microsoft.com/office/drawing/2014/main" id="{00000000-0008-0000-0C00-00002E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211" y="8971"/>
                <a:ext cx="1387" cy="1017"/>
              </a:xfrm>
              <a:custGeom>
                <a:avLst/>
                <a:gdLst>
                  <a:gd name="T0" fmla="*/ 232 w 625"/>
                  <a:gd name="T1" fmla="*/ 18 h 429"/>
                  <a:gd name="T2" fmla="*/ 268 w 625"/>
                  <a:gd name="T3" fmla="*/ 27 h 429"/>
                  <a:gd name="T4" fmla="*/ 294 w 625"/>
                  <a:gd name="T5" fmla="*/ 9 h 429"/>
                  <a:gd name="T6" fmla="*/ 330 w 625"/>
                  <a:gd name="T7" fmla="*/ 9 h 429"/>
                  <a:gd name="T8" fmla="*/ 330 w 625"/>
                  <a:gd name="T9" fmla="*/ 36 h 429"/>
                  <a:gd name="T10" fmla="*/ 357 w 625"/>
                  <a:gd name="T11" fmla="*/ 45 h 429"/>
                  <a:gd name="T12" fmla="*/ 366 w 625"/>
                  <a:gd name="T13" fmla="*/ 72 h 429"/>
                  <a:gd name="T14" fmla="*/ 393 w 625"/>
                  <a:gd name="T15" fmla="*/ 98 h 429"/>
                  <a:gd name="T16" fmla="*/ 437 w 625"/>
                  <a:gd name="T17" fmla="*/ 89 h 429"/>
                  <a:gd name="T18" fmla="*/ 464 w 625"/>
                  <a:gd name="T19" fmla="*/ 89 h 429"/>
                  <a:gd name="T20" fmla="*/ 491 w 625"/>
                  <a:gd name="T21" fmla="*/ 89 h 429"/>
                  <a:gd name="T22" fmla="*/ 473 w 625"/>
                  <a:gd name="T23" fmla="*/ 98 h 429"/>
                  <a:gd name="T24" fmla="*/ 473 w 625"/>
                  <a:gd name="T25" fmla="*/ 116 h 429"/>
                  <a:gd name="T26" fmla="*/ 509 w 625"/>
                  <a:gd name="T27" fmla="*/ 134 h 429"/>
                  <a:gd name="T28" fmla="*/ 545 w 625"/>
                  <a:gd name="T29" fmla="*/ 143 h 429"/>
                  <a:gd name="T30" fmla="*/ 562 w 625"/>
                  <a:gd name="T31" fmla="*/ 179 h 429"/>
                  <a:gd name="T32" fmla="*/ 562 w 625"/>
                  <a:gd name="T33" fmla="*/ 232 h 429"/>
                  <a:gd name="T34" fmla="*/ 562 w 625"/>
                  <a:gd name="T35" fmla="*/ 250 h 429"/>
                  <a:gd name="T36" fmla="*/ 598 w 625"/>
                  <a:gd name="T37" fmla="*/ 268 h 429"/>
                  <a:gd name="T38" fmla="*/ 625 w 625"/>
                  <a:gd name="T39" fmla="*/ 277 h 429"/>
                  <a:gd name="T40" fmla="*/ 616 w 625"/>
                  <a:gd name="T41" fmla="*/ 304 h 429"/>
                  <a:gd name="T42" fmla="*/ 598 w 625"/>
                  <a:gd name="T43" fmla="*/ 313 h 429"/>
                  <a:gd name="T44" fmla="*/ 580 w 625"/>
                  <a:gd name="T45" fmla="*/ 322 h 429"/>
                  <a:gd name="T46" fmla="*/ 553 w 625"/>
                  <a:gd name="T47" fmla="*/ 322 h 429"/>
                  <a:gd name="T48" fmla="*/ 536 w 625"/>
                  <a:gd name="T49" fmla="*/ 357 h 429"/>
                  <a:gd name="T50" fmla="*/ 500 w 625"/>
                  <a:gd name="T51" fmla="*/ 393 h 429"/>
                  <a:gd name="T52" fmla="*/ 464 w 625"/>
                  <a:gd name="T53" fmla="*/ 393 h 429"/>
                  <a:gd name="T54" fmla="*/ 446 w 625"/>
                  <a:gd name="T55" fmla="*/ 375 h 429"/>
                  <a:gd name="T56" fmla="*/ 428 w 625"/>
                  <a:gd name="T57" fmla="*/ 357 h 429"/>
                  <a:gd name="T58" fmla="*/ 402 w 625"/>
                  <a:gd name="T59" fmla="*/ 375 h 429"/>
                  <a:gd name="T60" fmla="*/ 357 w 625"/>
                  <a:gd name="T61" fmla="*/ 366 h 429"/>
                  <a:gd name="T62" fmla="*/ 348 w 625"/>
                  <a:gd name="T63" fmla="*/ 331 h 429"/>
                  <a:gd name="T64" fmla="*/ 330 w 625"/>
                  <a:gd name="T65" fmla="*/ 357 h 429"/>
                  <a:gd name="T66" fmla="*/ 294 w 625"/>
                  <a:gd name="T67" fmla="*/ 375 h 429"/>
                  <a:gd name="T68" fmla="*/ 286 w 625"/>
                  <a:gd name="T69" fmla="*/ 393 h 429"/>
                  <a:gd name="T70" fmla="*/ 277 w 625"/>
                  <a:gd name="T71" fmla="*/ 420 h 429"/>
                  <a:gd name="T72" fmla="*/ 259 w 625"/>
                  <a:gd name="T73" fmla="*/ 411 h 429"/>
                  <a:gd name="T74" fmla="*/ 223 w 625"/>
                  <a:gd name="T75" fmla="*/ 402 h 429"/>
                  <a:gd name="T76" fmla="*/ 187 w 625"/>
                  <a:gd name="T77" fmla="*/ 411 h 429"/>
                  <a:gd name="T78" fmla="*/ 152 w 625"/>
                  <a:gd name="T79" fmla="*/ 420 h 429"/>
                  <a:gd name="T80" fmla="*/ 134 w 625"/>
                  <a:gd name="T81" fmla="*/ 411 h 429"/>
                  <a:gd name="T82" fmla="*/ 107 w 625"/>
                  <a:gd name="T83" fmla="*/ 402 h 429"/>
                  <a:gd name="T84" fmla="*/ 71 w 625"/>
                  <a:gd name="T85" fmla="*/ 384 h 429"/>
                  <a:gd name="T86" fmla="*/ 18 w 625"/>
                  <a:gd name="T87" fmla="*/ 384 h 429"/>
                  <a:gd name="T88" fmla="*/ 0 w 625"/>
                  <a:gd name="T89" fmla="*/ 348 h 429"/>
                  <a:gd name="T90" fmla="*/ 26 w 625"/>
                  <a:gd name="T91" fmla="*/ 304 h 429"/>
                  <a:gd name="T92" fmla="*/ 44 w 625"/>
                  <a:gd name="T93" fmla="*/ 277 h 429"/>
                  <a:gd name="T94" fmla="*/ 53 w 625"/>
                  <a:gd name="T95" fmla="*/ 250 h 429"/>
                  <a:gd name="T96" fmla="*/ 71 w 625"/>
                  <a:gd name="T97" fmla="*/ 214 h 429"/>
                  <a:gd name="T98" fmla="*/ 62 w 625"/>
                  <a:gd name="T99" fmla="*/ 179 h 429"/>
                  <a:gd name="T100" fmla="*/ 35 w 625"/>
                  <a:gd name="T101" fmla="*/ 170 h 429"/>
                  <a:gd name="T102" fmla="*/ 9 w 625"/>
                  <a:gd name="T103" fmla="*/ 152 h 429"/>
                  <a:gd name="T104" fmla="*/ 26 w 625"/>
                  <a:gd name="T105" fmla="*/ 134 h 429"/>
                  <a:gd name="T106" fmla="*/ 44 w 625"/>
                  <a:gd name="T107" fmla="*/ 116 h 429"/>
                  <a:gd name="T108" fmla="*/ 53 w 625"/>
                  <a:gd name="T109" fmla="*/ 107 h 429"/>
                  <a:gd name="T110" fmla="*/ 80 w 625"/>
                  <a:gd name="T111" fmla="*/ 98 h 429"/>
                  <a:gd name="T112" fmla="*/ 107 w 625"/>
                  <a:gd name="T113" fmla="*/ 81 h 429"/>
                  <a:gd name="T114" fmla="*/ 116 w 625"/>
                  <a:gd name="T115" fmla="*/ 45 h 429"/>
                  <a:gd name="T116" fmla="*/ 143 w 625"/>
                  <a:gd name="T117" fmla="*/ 36 h 429"/>
                  <a:gd name="T118" fmla="*/ 178 w 625"/>
                  <a:gd name="T119" fmla="*/ 45 h 429"/>
                  <a:gd name="T120" fmla="*/ 205 w 625"/>
                  <a:gd name="T121" fmla="*/ 45 h 429"/>
                  <a:gd name="T122" fmla="*/ 205 w 625"/>
                  <a:gd name="T123" fmla="*/ 27 h 429"/>
                  <a:gd name="T124" fmla="*/ 214 w 625"/>
                  <a:gd name="T125" fmla="*/ 9 h 42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625" h="429">
                    <a:moveTo>
                      <a:pt x="223" y="0"/>
                    </a:moveTo>
                    <a:lnTo>
                      <a:pt x="232" y="18"/>
                    </a:lnTo>
                    <a:lnTo>
                      <a:pt x="241" y="27"/>
                    </a:lnTo>
                    <a:lnTo>
                      <a:pt x="268" y="27"/>
                    </a:lnTo>
                    <a:lnTo>
                      <a:pt x="286" y="27"/>
                    </a:lnTo>
                    <a:lnTo>
                      <a:pt x="294" y="9"/>
                    </a:lnTo>
                    <a:lnTo>
                      <a:pt x="321" y="9"/>
                    </a:lnTo>
                    <a:lnTo>
                      <a:pt x="330" y="9"/>
                    </a:lnTo>
                    <a:lnTo>
                      <a:pt x="330" y="18"/>
                    </a:lnTo>
                    <a:lnTo>
                      <a:pt x="330" y="36"/>
                    </a:lnTo>
                    <a:lnTo>
                      <a:pt x="348" y="45"/>
                    </a:lnTo>
                    <a:lnTo>
                      <a:pt x="357" y="45"/>
                    </a:lnTo>
                    <a:lnTo>
                      <a:pt x="366" y="54"/>
                    </a:lnTo>
                    <a:lnTo>
                      <a:pt x="366" y="72"/>
                    </a:lnTo>
                    <a:lnTo>
                      <a:pt x="375" y="89"/>
                    </a:lnTo>
                    <a:lnTo>
                      <a:pt x="393" y="98"/>
                    </a:lnTo>
                    <a:lnTo>
                      <a:pt x="411" y="98"/>
                    </a:lnTo>
                    <a:lnTo>
                      <a:pt x="437" y="89"/>
                    </a:lnTo>
                    <a:lnTo>
                      <a:pt x="455" y="81"/>
                    </a:lnTo>
                    <a:lnTo>
                      <a:pt x="464" y="89"/>
                    </a:lnTo>
                    <a:lnTo>
                      <a:pt x="482" y="89"/>
                    </a:lnTo>
                    <a:lnTo>
                      <a:pt x="491" y="89"/>
                    </a:lnTo>
                    <a:lnTo>
                      <a:pt x="491" y="98"/>
                    </a:lnTo>
                    <a:lnTo>
                      <a:pt x="473" y="98"/>
                    </a:lnTo>
                    <a:lnTo>
                      <a:pt x="464" y="107"/>
                    </a:lnTo>
                    <a:lnTo>
                      <a:pt x="473" y="116"/>
                    </a:lnTo>
                    <a:lnTo>
                      <a:pt x="491" y="125"/>
                    </a:lnTo>
                    <a:lnTo>
                      <a:pt x="509" y="134"/>
                    </a:lnTo>
                    <a:lnTo>
                      <a:pt x="527" y="134"/>
                    </a:lnTo>
                    <a:lnTo>
                      <a:pt x="545" y="143"/>
                    </a:lnTo>
                    <a:lnTo>
                      <a:pt x="562" y="170"/>
                    </a:lnTo>
                    <a:lnTo>
                      <a:pt x="562" y="179"/>
                    </a:lnTo>
                    <a:lnTo>
                      <a:pt x="562" y="197"/>
                    </a:lnTo>
                    <a:lnTo>
                      <a:pt x="562" y="232"/>
                    </a:lnTo>
                    <a:lnTo>
                      <a:pt x="562" y="241"/>
                    </a:lnTo>
                    <a:lnTo>
                      <a:pt x="562" y="250"/>
                    </a:lnTo>
                    <a:lnTo>
                      <a:pt x="580" y="259"/>
                    </a:lnTo>
                    <a:lnTo>
                      <a:pt x="598" y="268"/>
                    </a:lnTo>
                    <a:lnTo>
                      <a:pt x="616" y="268"/>
                    </a:lnTo>
                    <a:lnTo>
                      <a:pt x="625" y="277"/>
                    </a:lnTo>
                    <a:lnTo>
                      <a:pt x="625" y="286"/>
                    </a:lnTo>
                    <a:lnTo>
                      <a:pt x="616" y="304"/>
                    </a:lnTo>
                    <a:lnTo>
                      <a:pt x="616" y="304"/>
                    </a:lnTo>
                    <a:lnTo>
                      <a:pt x="598" y="313"/>
                    </a:lnTo>
                    <a:lnTo>
                      <a:pt x="589" y="313"/>
                    </a:lnTo>
                    <a:lnTo>
                      <a:pt x="580" y="322"/>
                    </a:lnTo>
                    <a:lnTo>
                      <a:pt x="571" y="313"/>
                    </a:lnTo>
                    <a:lnTo>
                      <a:pt x="553" y="322"/>
                    </a:lnTo>
                    <a:lnTo>
                      <a:pt x="545" y="331"/>
                    </a:lnTo>
                    <a:lnTo>
                      <a:pt x="536" y="357"/>
                    </a:lnTo>
                    <a:lnTo>
                      <a:pt x="518" y="375"/>
                    </a:lnTo>
                    <a:lnTo>
                      <a:pt x="500" y="393"/>
                    </a:lnTo>
                    <a:lnTo>
                      <a:pt x="482" y="402"/>
                    </a:lnTo>
                    <a:lnTo>
                      <a:pt x="464" y="393"/>
                    </a:lnTo>
                    <a:lnTo>
                      <a:pt x="455" y="384"/>
                    </a:lnTo>
                    <a:lnTo>
                      <a:pt x="446" y="375"/>
                    </a:lnTo>
                    <a:lnTo>
                      <a:pt x="437" y="357"/>
                    </a:lnTo>
                    <a:lnTo>
                      <a:pt x="428" y="357"/>
                    </a:lnTo>
                    <a:lnTo>
                      <a:pt x="411" y="366"/>
                    </a:lnTo>
                    <a:lnTo>
                      <a:pt x="402" y="375"/>
                    </a:lnTo>
                    <a:lnTo>
                      <a:pt x="384" y="375"/>
                    </a:lnTo>
                    <a:lnTo>
                      <a:pt x="357" y="366"/>
                    </a:lnTo>
                    <a:lnTo>
                      <a:pt x="357" y="357"/>
                    </a:lnTo>
                    <a:lnTo>
                      <a:pt x="348" y="331"/>
                    </a:lnTo>
                    <a:lnTo>
                      <a:pt x="339" y="339"/>
                    </a:lnTo>
                    <a:lnTo>
                      <a:pt x="330" y="357"/>
                    </a:lnTo>
                    <a:lnTo>
                      <a:pt x="321" y="366"/>
                    </a:lnTo>
                    <a:lnTo>
                      <a:pt x="294" y="375"/>
                    </a:lnTo>
                    <a:lnTo>
                      <a:pt x="286" y="375"/>
                    </a:lnTo>
                    <a:lnTo>
                      <a:pt x="286" y="393"/>
                    </a:lnTo>
                    <a:lnTo>
                      <a:pt x="277" y="402"/>
                    </a:lnTo>
                    <a:lnTo>
                      <a:pt x="277" y="420"/>
                    </a:lnTo>
                    <a:lnTo>
                      <a:pt x="268" y="420"/>
                    </a:lnTo>
                    <a:lnTo>
                      <a:pt x="259" y="411"/>
                    </a:lnTo>
                    <a:lnTo>
                      <a:pt x="241" y="402"/>
                    </a:lnTo>
                    <a:lnTo>
                      <a:pt x="223" y="402"/>
                    </a:lnTo>
                    <a:lnTo>
                      <a:pt x="205" y="402"/>
                    </a:lnTo>
                    <a:lnTo>
                      <a:pt x="187" y="411"/>
                    </a:lnTo>
                    <a:lnTo>
                      <a:pt x="178" y="429"/>
                    </a:lnTo>
                    <a:lnTo>
                      <a:pt x="152" y="420"/>
                    </a:lnTo>
                    <a:lnTo>
                      <a:pt x="143" y="420"/>
                    </a:lnTo>
                    <a:lnTo>
                      <a:pt x="134" y="411"/>
                    </a:lnTo>
                    <a:lnTo>
                      <a:pt x="125" y="411"/>
                    </a:lnTo>
                    <a:lnTo>
                      <a:pt x="107" y="402"/>
                    </a:lnTo>
                    <a:lnTo>
                      <a:pt x="89" y="393"/>
                    </a:lnTo>
                    <a:lnTo>
                      <a:pt x="71" y="384"/>
                    </a:lnTo>
                    <a:lnTo>
                      <a:pt x="44" y="384"/>
                    </a:lnTo>
                    <a:lnTo>
                      <a:pt x="18" y="384"/>
                    </a:lnTo>
                    <a:lnTo>
                      <a:pt x="9" y="366"/>
                    </a:lnTo>
                    <a:lnTo>
                      <a:pt x="0" y="348"/>
                    </a:lnTo>
                    <a:lnTo>
                      <a:pt x="18" y="331"/>
                    </a:lnTo>
                    <a:lnTo>
                      <a:pt x="26" y="304"/>
                    </a:lnTo>
                    <a:lnTo>
                      <a:pt x="35" y="286"/>
                    </a:lnTo>
                    <a:lnTo>
                      <a:pt x="44" y="277"/>
                    </a:lnTo>
                    <a:lnTo>
                      <a:pt x="44" y="268"/>
                    </a:lnTo>
                    <a:lnTo>
                      <a:pt x="53" y="250"/>
                    </a:lnTo>
                    <a:lnTo>
                      <a:pt x="62" y="232"/>
                    </a:lnTo>
                    <a:lnTo>
                      <a:pt x="71" y="214"/>
                    </a:lnTo>
                    <a:lnTo>
                      <a:pt x="71" y="197"/>
                    </a:lnTo>
                    <a:lnTo>
                      <a:pt x="62" y="179"/>
                    </a:lnTo>
                    <a:lnTo>
                      <a:pt x="53" y="170"/>
                    </a:lnTo>
                    <a:lnTo>
                      <a:pt x="35" y="170"/>
                    </a:lnTo>
                    <a:lnTo>
                      <a:pt x="9" y="161"/>
                    </a:lnTo>
                    <a:lnTo>
                      <a:pt x="9" y="152"/>
                    </a:lnTo>
                    <a:lnTo>
                      <a:pt x="18" y="143"/>
                    </a:lnTo>
                    <a:lnTo>
                      <a:pt x="26" y="134"/>
                    </a:lnTo>
                    <a:lnTo>
                      <a:pt x="35" y="125"/>
                    </a:lnTo>
                    <a:lnTo>
                      <a:pt x="44" y="116"/>
                    </a:lnTo>
                    <a:lnTo>
                      <a:pt x="44" y="116"/>
                    </a:lnTo>
                    <a:lnTo>
                      <a:pt x="53" y="107"/>
                    </a:lnTo>
                    <a:lnTo>
                      <a:pt x="62" y="107"/>
                    </a:lnTo>
                    <a:lnTo>
                      <a:pt x="80" y="98"/>
                    </a:lnTo>
                    <a:lnTo>
                      <a:pt x="89" y="89"/>
                    </a:lnTo>
                    <a:lnTo>
                      <a:pt x="107" y="81"/>
                    </a:lnTo>
                    <a:lnTo>
                      <a:pt x="116" y="63"/>
                    </a:lnTo>
                    <a:lnTo>
                      <a:pt x="116" y="45"/>
                    </a:lnTo>
                    <a:lnTo>
                      <a:pt x="125" y="36"/>
                    </a:lnTo>
                    <a:lnTo>
                      <a:pt x="143" y="36"/>
                    </a:lnTo>
                    <a:lnTo>
                      <a:pt x="160" y="45"/>
                    </a:lnTo>
                    <a:lnTo>
                      <a:pt x="178" y="45"/>
                    </a:lnTo>
                    <a:lnTo>
                      <a:pt x="196" y="45"/>
                    </a:lnTo>
                    <a:lnTo>
                      <a:pt x="205" y="45"/>
                    </a:lnTo>
                    <a:lnTo>
                      <a:pt x="205" y="36"/>
                    </a:lnTo>
                    <a:lnTo>
                      <a:pt x="205" y="27"/>
                    </a:lnTo>
                    <a:lnTo>
                      <a:pt x="205" y="9"/>
                    </a:lnTo>
                    <a:lnTo>
                      <a:pt x="214" y="9"/>
                    </a:lnTo>
                    <a:lnTo>
                      <a:pt x="223" y="0"/>
                    </a:lnTo>
                  </a:path>
                </a:pathLst>
              </a:custGeom>
              <a:solidFill>
                <a:schemeClr val="accent6">
                  <a:lumMod val="50000"/>
                </a:schemeClr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47" name="Freeform 70">
                <a:extLst>
                  <a:ext uri="{FF2B5EF4-FFF2-40B4-BE49-F238E27FC236}">
                    <a16:creationId xmlns:a16="http://schemas.microsoft.com/office/drawing/2014/main" id="{00000000-0008-0000-0C00-00002F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17" y="8831"/>
                <a:ext cx="1487" cy="2162"/>
              </a:xfrm>
              <a:custGeom>
                <a:avLst/>
                <a:gdLst>
                  <a:gd name="T0" fmla="*/ 500 w 670"/>
                  <a:gd name="T1" fmla="*/ 875 h 911"/>
                  <a:gd name="T2" fmla="*/ 482 w 670"/>
                  <a:gd name="T3" fmla="*/ 902 h 911"/>
                  <a:gd name="T4" fmla="*/ 446 w 670"/>
                  <a:gd name="T5" fmla="*/ 884 h 911"/>
                  <a:gd name="T6" fmla="*/ 429 w 670"/>
                  <a:gd name="T7" fmla="*/ 911 h 911"/>
                  <a:gd name="T8" fmla="*/ 339 w 670"/>
                  <a:gd name="T9" fmla="*/ 893 h 911"/>
                  <a:gd name="T10" fmla="*/ 321 w 670"/>
                  <a:gd name="T11" fmla="*/ 812 h 911"/>
                  <a:gd name="T12" fmla="*/ 339 w 670"/>
                  <a:gd name="T13" fmla="*/ 777 h 911"/>
                  <a:gd name="T14" fmla="*/ 339 w 670"/>
                  <a:gd name="T15" fmla="*/ 750 h 911"/>
                  <a:gd name="T16" fmla="*/ 339 w 670"/>
                  <a:gd name="T17" fmla="*/ 714 h 911"/>
                  <a:gd name="T18" fmla="*/ 295 w 670"/>
                  <a:gd name="T19" fmla="*/ 661 h 911"/>
                  <a:gd name="T20" fmla="*/ 304 w 670"/>
                  <a:gd name="T21" fmla="*/ 616 h 911"/>
                  <a:gd name="T22" fmla="*/ 295 w 670"/>
                  <a:gd name="T23" fmla="*/ 589 h 911"/>
                  <a:gd name="T24" fmla="*/ 250 w 670"/>
                  <a:gd name="T25" fmla="*/ 571 h 911"/>
                  <a:gd name="T26" fmla="*/ 259 w 670"/>
                  <a:gd name="T27" fmla="*/ 527 h 911"/>
                  <a:gd name="T28" fmla="*/ 286 w 670"/>
                  <a:gd name="T29" fmla="*/ 473 h 911"/>
                  <a:gd name="T30" fmla="*/ 295 w 670"/>
                  <a:gd name="T31" fmla="*/ 428 h 911"/>
                  <a:gd name="T32" fmla="*/ 277 w 670"/>
                  <a:gd name="T33" fmla="*/ 357 h 911"/>
                  <a:gd name="T34" fmla="*/ 250 w 670"/>
                  <a:gd name="T35" fmla="*/ 312 h 911"/>
                  <a:gd name="T36" fmla="*/ 241 w 670"/>
                  <a:gd name="T37" fmla="*/ 259 h 911"/>
                  <a:gd name="T38" fmla="*/ 223 w 670"/>
                  <a:gd name="T39" fmla="*/ 232 h 911"/>
                  <a:gd name="T40" fmla="*/ 170 w 670"/>
                  <a:gd name="T41" fmla="*/ 205 h 911"/>
                  <a:gd name="T42" fmla="*/ 125 w 670"/>
                  <a:gd name="T43" fmla="*/ 187 h 911"/>
                  <a:gd name="T44" fmla="*/ 27 w 670"/>
                  <a:gd name="T45" fmla="*/ 187 h 911"/>
                  <a:gd name="T46" fmla="*/ 36 w 670"/>
                  <a:gd name="T47" fmla="*/ 107 h 911"/>
                  <a:gd name="T48" fmla="*/ 0 w 670"/>
                  <a:gd name="T49" fmla="*/ 53 h 911"/>
                  <a:gd name="T50" fmla="*/ 80 w 670"/>
                  <a:gd name="T51" fmla="*/ 27 h 911"/>
                  <a:gd name="T52" fmla="*/ 134 w 670"/>
                  <a:gd name="T53" fmla="*/ 35 h 911"/>
                  <a:gd name="T54" fmla="*/ 170 w 670"/>
                  <a:gd name="T55" fmla="*/ 35 h 911"/>
                  <a:gd name="T56" fmla="*/ 196 w 670"/>
                  <a:gd name="T57" fmla="*/ 27 h 911"/>
                  <a:gd name="T58" fmla="*/ 223 w 670"/>
                  <a:gd name="T59" fmla="*/ 53 h 911"/>
                  <a:gd name="T60" fmla="*/ 268 w 670"/>
                  <a:gd name="T61" fmla="*/ 62 h 911"/>
                  <a:gd name="T62" fmla="*/ 268 w 670"/>
                  <a:gd name="T63" fmla="*/ 27 h 911"/>
                  <a:gd name="T64" fmla="*/ 304 w 670"/>
                  <a:gd name="T65" fmla="*/ 9 h 911"/>
                  <a:gd name="T66" fmla="*/ 330 w 670"/>
                  <a:gd name="T67" fmla="*/ 18 h 911"/>
                  <a:gd name="T68" fmla="*/ 348 w 670"/>
                  <a:gd name="T69" fmla="*/ 35 h 911"/>
                  <a:gd name="T70" fmla="*/ 357 w 670"/>
                  <a:gd name="T71" fmla="*/ 80 h 911"/>
                  <a:gd name="T72" fmla="*/ 402 w 670"/>
                  <a:gd name="T73" fmla="*/ 80 h 911"/>
                  <a:gd name="T74" fmla="*/ 438 w 670"/>
                  <a:gd name="T75" fmla="*/ 71 h 911"/>
                  <a:gd name="T76" fmla="*/ 473 w 670"/>
                  <a:gd name="T77" fmla="*/ 62 h 911"/>
                  <a:gd name="T78" fmla="*/ 509 w 670"/>
                  <a:gd name="T79" fmla="*/ 80 h 911"/>
                  <a:gd name="T80" fmla="*/ 536 w 670"/>
                  <a:gd name="T81" fmla="*/ 89 h 911"/>
                  <a:gd name="T82" fmla="*/ 545 w 670"/>
                  <a:gd name="T83" fmla="*/ 143 h 911"/>
                  <a:gd name="T84" fmla="*/ 598 w 670"/>
                  <a:gd name="T85" fmla="*/ 160 h 911"/>
                  <a:gd name="T86" fmla="*/ 652 w 670"/>
                  <a:gd name="T87" fmla="*/ 143 h 911"/>
                  <a:gd name="T88" fmla="*/ 670 w 670"/>
                  <a:gd name="T89" fmla="*/ 178 h 911"/>
                  <a:gd name="T90" fmla="*/ 661 w 670"/>
                  <a:gd name="T91" fmla="*/ 205 h 911"/>
                  <a:gd name="T92" fmla="*/ 634 w 670"/>
                  <a:gd name="T93" fmla="*/ 232 h 911"/>
                  <a:gd name="T94" fmla="*/ 634 w 670"/>
                  <a:gd name="T95" fmla="*/ 312 h 911"/>
                  <a:gd name="T96" fmla="*/ 616 w 670"/>
                  <a:gd name="T97" fmla="*/ 339 h 911"/>
                  <a:gd name="T98" fmla="*/ 589 w 670"/>
                  <a:gd name="T99" fmla="*/ 339 h 911"/>
                  <a:gd name="T100" fmla="*/ 589 w 670"/>
                  <a:gd name="T101" fmla="*/ 402 h 911"/>
                  <a:gd name="T102" fmla="*/ 580 w 670"/>
                  <a:gd name="T103" fmla="*/ 446 h 911"/>
                  <a:gd name="T104" fmla="*/ 572 w 670"/>
                  <a:gd name="T105" fmla="*/ 464 h 911"/>
                  <a:gd name="T106" fmla="*/ 616 w 670"/>
                  <a:gd name="T107" fmla="*/ 464 h 911"/>
                  <a:gd name="T108" fmla="*/ 634 w 670"/>
                  <a:gd name="T109" fmla="*/ 500 h 911"/>
                  <a:gd name="T110" fmla="*/ 616 w 670"/>
                  <a:gd name="T111" fmla="*/ 553 h 911"/>
                  <a:gd name="T112" fmla="*/ 607 w 670"/>
                  <a:gd name="T113" fmla="*/ 598 h 911"/>
                  <a:gd name="T114" fmla="*/ 607 w 670"/>
                  <a:gd name="T115" fmla="*/ 661 h 911"/>
                  <a:gd name="T116" fmla="*/ 625 w 670"/>
                  <a:gd name="T117" fmla="*/ 705 h 911"/>
                  <a:gd name="T118" fmla="*/ 616 w 670"/>
                  <a:gd name="T119" fmla="*/ 741 h 911"/>
                  <a:gd name="T120" fmla="*/ 598 w 670"/>
                  <a:gd name="T121" fmla="*/ 777 h 911"/>
                  <a:gd name="T122" fmla="*/ 580 w 670"/>
                  <a:gd name="T123" fmla="*/ 821 h 911"/>
                  <a:gd name="T124" fmla="*/ 563 w 670"/>
                  <a:gd name="T125" fmla="*/ 857 h 91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670" h="911">
                    <a:moveTo>
                      <a:pt x="554" y="875"/>
                    </a:moveTo>
                    <a:lnTo>
                      <a:pt x="545" y="875"/>
                    </a:lnTo>
                    <a:lnTo>
                      <a:pt x="545" y="875"/>
                    </a:lnTo>
                    <a:lnTo>
                      <a:pt x="545" y="875"/>
                    </a:lnTo>
                    <a:lnTo>
                      <a:pt x="536" y="866"/>
                    </a:lnTo>
                    <a:lnTo>
                      <a:pt x="536" y="866"/>
                    </a:lnTo>
                    <a:lnTo>
                      <a:pt x="527" y="866"/>
                    </a:lnTo>
                    <a:lnTo>
                      <a:pt x="527" y="866"/>
                    </a:lnTo>
                    <a:lnTo>
                      <a:pt x="527" y="866"/>
                    </a:lnTo>
                    <a:lnTo>
                      <a:pt x="518" y="866"/>
                    </a:lnTo>
                    <a:lnTo>
                      <a:pt x="518" y="866"/>
                    </a:lnTo>
                    <a:lnTo>
                      <a:pt x="518" y="866"/>
                    </a:lnTo>
                    <a:lnTo>
                      <a:pt x="518" y="866"/>
                    </a:lnTo>
                    <a:lnTo>
                      <a:pt x="509" y="866"/>
                    </a:lnTo>
                    <a:lnTo>
                      <a:pt x="509" y="875"/>
                    </a:lnTo>
                    <a:lnTo>
                      <a:pt x="509" y="875"/>
                    </a:lnTo>
                    <a:lnTo>
                      <a:pt x="509" y="875"/>
                    </a:lnTo>
                    <a:lnTo>
                      <a:pt x="500" y="875"/>
                    </a:lnTo>
                    <a:lnTo>
                      <a:pt x="500" y="875"/>
                    </a:lnTo>
                    <a:lnTo>
                      <a:pt x="500" y="875"/>
                    </a:lnTo>
                    <a:lnTo>
                      <a:pt x="500" y="884"/>
                    </a:lnTo>
                    <a:lnTo>
                      <a:pt x="500" y="884"/>
                    </a:lnTo>
                    <a:lnTo>
                      <a:pt x="500" y="884"/>
                    </a:lnTo>
                    <a:lnTo>
                      <a:pt x="500" y="884"/>
                    </a:lnTo>
                    <a:lnTo>
                      <a:pt x="491" y="884"/>
                    </a:lnTo>
                    <a:lnTo>
                      <a:pt x="491" y="893"/>
                    </a:lnTo>
                    <a:lnTo>
                      <a:pt x="491" y="893"/>
                    </a:lnTo>
                    <a:lnTo>
                      <a:pt x="491" y="893"/>
                    </a:lnTo>
                    <a:lnTo>
                      <a:pt x="491" y="902"/>
                    </a:lnTo>
                    <a:lnTo>
                      <a:pt x="491" y="902"/>
                    </a:lnTo>
                    <a:lnTo>
                      <a:pt x="491" y="902"/>
                    </a:lnTo>
                    <a:lnTo>
                      <a:pt x="491" y="902"/>
                    </a:lnTo>
                    <a:lnTo>
                      <a:pt x="491" y="911"/>
                    </a:lnTo>
                    <a:lnTo>
                      <a:pt x="491" y="911"/>
                    </a:lnTo>
                    <a:lnTo>
                      <a:pt x="491" y="911"/>
                    </a:lnTo>
                    <a:lnTo>
                      <a:pt x="482" y="911"/>
                    </a:lnTo>
                    <a:lnTo>
                      <a:pt x="482" y="902"/>
                    </a:lnTo>
                    <a:lnTo>
                      <a:pt x="482" y="902"/>
                    </a:lnTo>
                    <a:lnTo>
                      <a:pt x="482" y="902"/>
                    </a:lnTo>
                    <a:lnTo>
                      <a:pt x="473" y="902"/>
                    </a:lnTo>
                    <a:lnTo>
                      <a:pt x="473" y="902"/>
                    </a:lnTo>
                    <a:lnTo>
                      <a:pt x="473" y="902"/>
                    </a:lnTo>
                    <a:lnTo>
                      <a:pt x="473" y="893"/>
                    </a:lnTo>
                    <a:lnTo>
                      <a:pt x="464" y="893"/>
                    </a:lnTo>
                    <a:lnTo>
                      <a:pt x="464" y="893"/>
                    </a:lnTo>
                    <a:lnTo>
                      <a:pt x="464" y="893"/>
                    </a:lnTo>
                    <a:lnTo>
                      <a:pt x="464" y="893"/>
                    </a:lnTo>
                    <a:lnTo>
                      <a:pt x="464" y="884"/>
                    </a:lnTo>
                    <a:lnTo>
                      <a:pt x="455" y="884"/>
                    </a:lnTo>
                    <a:lnTo>
                      <a:pt x="455" y="884"/>
                    </a:lnTo>
                    <a:lnTo>
                      <a:pt x="455" y="884"/>
                    </a:lnTo>
                    <a:lnTo>
                      <a:pt x="455" y="884"/>
                    </a:lnTo>
                    <a:lnTo>
                      <a:pt x="455" y="884"/>
                    </a:lnTo>
                    <a:lnTo>
                      <a:pt x="446" y="884"/>
                    </a:lnTo>
                    <a:lnTo>
                      <a:pt x="446" y="884"/>
                    </a:lnTo>
                    <a:lnTo>
                      <a:pt x="446" y="884"/>
                    </a:lnTo>
                    <a:lnTo>
                      <a:pt x="446" y="884"/>
                    </a:lnTo>
                    <a:lnTo>
                      <a:pt x="446" y="884"/>
                    </a:lnTo>
                    <a:lnTo>
                      <a:pt x="446" y="884"/>
                    </a:lnTo>
                    <a:lnTo>
                      <a:pt x="446" y="893"/>
                    </a:lnTo>
                    <a:lnTo>
                      <a:pt x="446" y="893"/>
                    </a:lnTo>
                    <a:lnTo>
                      <a:pt x="446" y="893"/>
                    </a:lnTo>
                    <a:lnTo>
                      <a:pt x="446" y="893"/>
                    </a:lnTo>
                    <a:lnTo>
                      <a:pt x="446" y="902"/>
                    </a:lnTo>
                    <a:lnTo>
                      <a:pt x="446" y="902"/>
                    </a:lnTo>
                    <a:lnTo>
                      <a:pt x="446" y="902"/>
                    </a:lnTo>
                    <a:lnTo>
                      <a:pt x="446" y="902"/>
                    </a:lnTo>
                    <a:lnTo>
                      <a:pt x="438" y="902"/>
                    </a:lnTo>
                    <a:lnTo>
                      <a:pt x="438" y="902"/>
                    </a:lnTo>
                    <a:lnTo>
                      <a:pt x="438" y="902"/>
                    </a:lnTo>
                    <a:lnTo>
                      <a:pt x="438" y="911"/>
                    </a:lnTo>
                    <a:lnTo>
                      <a:pt x="438" y="911"/>
                    </a:lnTo>
                    <a:lnTo>
                      <a:pt x="438" y="911"/>
                    </a:lnTo>
                    <a:lnTo>
                      <a:pt x="429" y="911"/>
                    </a:lnTo>
                    <a:lnTo>
                      <a:pt x="429" y="911"/>
                    </a:lnTo>
                    <a:lnTo>
                      <a:pt x="429" y="911"/>
                    </a:lnTo>
                    <a:lnTo>
                      <a:pt x="420" y="911"/>
                    </a:lnTo>
                    <a:lnTo>
                      <a:pt x="420" y="911"/>
                    </a:lnTo>
                    <a:lnTo>
                      <a:pt x="420" y="911"/>
                    </a:lnTo>
                    <a:lnTo>
                      <a:pt x="411" y="911"/>
                    </a:lnTo>
                    <a:lnTo>
                      <a:pt x="411" y="911"/>
                    </a:lnTo>
                    <a:lnTo>
                      <a:pt x="402" y="911"/>
                    </a:lnTo>
                    <a:lnTo>
                      <a:pt x="402" y="911"/>
                    </a:lnTo>
                    <a:lnTo>
                      <a:pt x="393" y="911"/>
                    </a:lnTo>
                    <a:lnTo>
                      <a:pt x="384" y="911"/>
                    </a:lnTo>
                    <a:lnTo>
                      <a:pt x="384" y="911"/>
                    </a:lnTo>
                    <a:lnTo>
                      <a:pt x="375" y="911"/>
                    </a:lnTo>
                    <a:lnTo>
                      <a:pt x="366" y="911"/>
                    </a:lnTo>
                    <a:lnTo>
                      <a:pt x="366" y="911"/>
                    </a:lnTo>
                    <a:lnTo>
                      <a:pt x="357" y="902"/>
                    </a:lnTo>
                    <a:lnTo>
                      <a:pt x="357" y="902"/>
                    </a:lnTo>
                    <a:lnTo>
                      <a:pt x="348" y="902"/>
                    </a:lnTo>
                    <a:lnTo>
                      <a:pt x="348" y="902"/>
                    </a:lnTo>
                    <a:lnTo>
                      <a:pt x="339" y="893"/>
                    </a:lnTo>
                    <a:lnTo>
                      <a:pt x="339" y="893"/>
                    </a:lnTo>
                    <a:lnTo>
                      <a:pt x="339" y="884"/>
                    </a:lnTo>
                    <a:lnTo>
                      <a:pt x="339" y="884"/>
                    </a:lnTo>
                    <a:lnTo>
                      <a:pt x="330" y="875"/>
                    </a:lnTo>
                    <a:lnTo>
                      <a:pt x="330" y="875"/>
                    </a:lnTo>
                    <a:lnTo>
                      <a:pt x="330" y="866"/>
                    </a:lnTo>
                    <a:lnTo>
                      <a:pt x="330" y="857"/>
                    </a:lnTo>
                    <a:lnTo>
                      <a:pt x="330" y="857"/>
                    </a:lnTo>
                    <a:lnTo>
                      <a:pt x="330" y="848"/>
                    </a:lnTo>
                    <a:lnTo>
                      <a:pt x="330" y="848"/>
                    </a:lnTo>
                    <a:lnTo>
                      <a:pt x="330" y="839"/>
                    </a:lnTo>
                    <a:lnTo>
                      <a:pt x="330" y="839"/>
                    </a:lnTo>
                    <a:lnTo>
                      <a:pt x="330" y="830"/>
                    </a:lnTo>
                    <a:lnTo>
                      <a:pt x="330" y="830"/>
                    </a:lnTo>
                    <a:lnTo>
                      <a:pt x="330" y="830"/>
                    </a:lnTo>
                    <a:lnTo>
                      <a:pt x="321" y="821"/>
                    </a:lnTo>
                    <a:lnTo>
                      <a:pt x="321" y="821"/>
                    </a:lnTo>
                    <a:lnTo>
                      <a:pt x="321" y="821"/>
                    </a:lnTo>
                    <a:lnTo>
                      <a:pt x="321" y="812"/>
                    </a:lnTo>
                    <a:lnTo>
                      <a:pt x="321" y="812"/>
                    </a:lnTo>
                    <a:lnTo>
                      <a:pt x="321" y="812"/>
                    </a:lnTo>
                    <a:lnTo>
                      <a:pt x="321" y="812"/>
                    </a:lnTo>
                    <a:lnTo>
                      <a:pt x="330" y="812"/>
                    </a:lnTo>
                    <a:lnTo>
                      <a:pt x="330" y="812"/>
                    </a:lnTo>
                    <a:lnTo>
                      <a:pt x="330" y="803"/>
                    </a:lnTo>
                    <a:lnTo>
                      <a:pt x="330" y="803"/>
                    </a:lnTo>
                    <a:lnTo>
                      <a:pt x="339" y="803"/>
                    </a:lnTo>
                    <a:lnTo>
                      <a:pt x="339" y="803"/>
                    </a:lnTo>
                    <a:lnTo>
                      <a:pt x="339" y="803"/>
                    </a:lnTo>
                    <a:lnTo>
                      <a:pt x="339" y="803"/>
                    </a:lnTo>
                    <a:lnTo>
                      <a:pt x="339" y="803"/>
                    </a:lnTo>
                    <a:lnTo>
                      <a:pt x="348" y="794"/>
                    </a:lnTo>
                    <a:lnTo>
                      <a:pt x="348" y="794"/>
                    </a:lnTo>
                    <a:lnTo>
                      <a:pt x="348" y="794"/>
                    </a:lnTo>
                    <a:lnTo>
                      <a:pt x="348" y="794"/>
                    </a:lnTo>
                    <a:lnTo>
                      <a:pt x="348" y="786"/>
                    </a:lnTo>
                    <a:lnTo>
                      <a:pt x="348" y="786"/>
                    </a:lnTo>
                    <a:lnTo>
                      <a:pt x="339" y="786"/>
                    </a:lnTo>
                    <a:lnTo>
                      <a:pt x="339" y="777"/>
                    </a:lnTo>
                    <a:lnTo>
                      <a:pt x="339" y="777"/>
                    </a:lnTo>
                    <a:lnTo>
                      <a:pt x="339" y="777"/>
                    </a:lnTo>
                    <a:lnTo>
                      <a:pt x="339" y="768"/>
                    </a:lnTo>
                    <a:lnTo>
                      <a:pt x="330" y="768"/>
                    </a:lnTo>
                    <a:lnTo>
                      <a:pt x="330" y="768"/>
                    </a:lnTo>
                    <a:lnTo>
                      <a:pt x="330" y="768"/>
                    </a:lnTo>
                    <a:lnTo>
                      <a:pt x="330" y="759"/>
                    </a:lnTo>
                    <a:lnTo>
                      <a:pt x="321" y="759"/>
                    </a:lnTo>
                    <a:lnTo>
                      <a:pt x="321" y="759"/>
                    </a:lnTo>
                    <a:lnTo>
                      <a:pt x="321" y="759"/>
                    </a:lnTo>
                    <a:lnTo>
                      <a:pt x="321" y="759"/>
                    </a:lnTo>
                    <a:lnTo>
                      <a:pt x="321" y="750"/>
                    </a:lnTo>
                    <a:lnTo>
                      <a:pt x="321" y="750"/>
                    </a:lnTo>
                    <a:lnTo>
                      <a:pt x="321" y="750"/>
                    </a:lnTo>
                    <a:lnTo>
                      <a:pt x="330" y="750"/>
                    </a:lnTo>
                    <a:lnTo>
                      <a:pt x="330" y="750"/>
                    </a:lnTo>
                    <a:lnTo>
                      <a:pt x="330" y="750"/>
                    </a:lnTo>
                    <a:lnTo>
                      <a:pt x="330" y="750"/>
                    </a:lnTo>
                    <a:lnTo>
                      <a:pt x="339" y="750"/>
                    </a:lnTo>
                    <a:lnTo>
                      <a:pt x="339" y="750"/>
                    </a:lnTo>
                    <a:lnTo>
                      <a:pt x="339" y="750"/>
                    </a:lnTo>
                    <a:lnTo>
                      <a:pt x="348" y="750"/>
                    </a:lnTo>
                    <a:lnTo>
                      <a:pt x="348" y="750"/>
                    </a:lnTo>
                    <a:lnTo>
                      <a:pt x="348" y="750"/>
                    </a:lnTo>
                    <a:lnTo>
                      <a:pt x="357" y="750"/>
                    </a:lnTo>
                    <a:lnTo>
                      <a:pt x="357" y="750"/>
                    </a:lnTo>
                    <a:lnTo>
                      <a:pt x="357" y="750"/>
                    </a:lnTo>
                    <a:lnTo>
                      <a:pt x="357" y="741"/>
                    </a:lnTo>
                    <a:lnTo>
                      <a:pt x="357" y="741"/>
                    </a:lnTo>
                    <a:lnTo>
                      <a:pt x="357" y="741"/>
                    </a:lnTo>
                    <a:lnTo>
                      <a:pt x="357" y="741"/>
                    </a:lnTo>
                    <a:lnTo>
                      <a:pt x="357" y="732"/>
                    </a:lnTo>
                    <a:lnTo>
                      <a:pt x="357" y="732"/>
                    </a:lnTo>
                    <a:lnTo>
                      <a:pt x="348" y="732"/>
                    </a:lnTo>
                    <a:lnTo>
                      <a:pt x="348" y="723"/>
                    </a:lnTo>
                    <a:lnTo>
                      <a:pt x="348" y="723"/>
                    </a:lnTo>
                    <a:lnTo>
                      <a:pt x="339" y="714"/>
                    </a:lnTo>
                    <a:lnTo>
                      <a:pt x="339" y="714"/>
                    </a:lnTo>
                    <a:lnTo>
                      <a:pt x="330" y="705"/>
                    </a:lnTo>
                    <a:lnTo>
                      <a:pt x="330" y="705"/>
                    </a:lnTo>
                    <a:lnTo>
                      <a:pt x="321" y="696"/>
                    </a:lnTo>
                    <a:lnTo>
                      <a:pt x="321" y="687"/>
                    </a:lnTo>
                    <a:lnTo>
                      <a:pt x="312" y="687"/>
                    </a:lnTo>
                    <a:lnTo>
                      <a:pt x="312" y="687"/>
                    </a:lnTo>
                    <a:lnTo>
                      <a:pt x="312" y="678"/>
                    </a:lnTo>
                    <a:lnTo>
                      <a:pt x="304" y="678"/>
                    </a:lnTo>
                    <a:lnTo>
                      <a:pt x="304" y="678"/>
                    </a:lnTo>
                    <a:lnTo>
                      <a:pt x="304" y="678"/>
                    </a:lnTo>
                    <a:lnTo>
                      <a:pt x="295" y="678"/>
                    </a:lnTo>
                    <a:lnTo>
                      <a:pt x="295" y="678"/>
                    </a:lnTo>
                    <a:lnTo>
                      <a:pt x="295" y="678"/>
                    </a:lnTo>
                    <a:lnTo>
                      <a:pt x="295" y="678"/>
                    </a:lnTo>
                    <a:lnTo>
                      <a:pt x="295" y="669"/>
                    </a:lnTo>
                    <a:lnTo>
                      <a:pt x="295" y="669"/>
                    </a:lnTo>
                    <a:lnTo>
                      <a:pt x="295" y="669"/>
                    </a:lnTo>
                    <a:lnTo>
                      <a:pt x="295" y="669"/>
                    </a:lnTo>
                    <a:lnTo>
                      <a:pt x="295" y="661"/>
                    </a:lnTo>
                    <a:lnTo>
                      <a:pt x="295" y="661"/>
                    </a:lnTo>
                    <a:lnTo>
                      <a:pt x="295" y="661"/>
                    </a:lnTo>
                    <a:lnTo>
                      <a:pt x="295" y="652"/>
                    </a:lnTo>
                    <a:lnTo>
                      <a:pt x="295" y="652"/>
                    </a:lnTo>
                    <a:lnTo>
                      <a:pt x="295" y="652"/>
                    </a:lnTo>
                    <a:lnTo>
                      <a:pt x="286" y="652"/>
                    </a:lnTo>
                    <a:lnTo>
                      <a:pt x="286" y="643"/>
                    </a:lnTo>
                    <a:lnTo>
                      <a:pt x="286" y="643"/>
                    </a:lnTo>
                    <a:lnTo>
                      <a:pt x="286" y="643"/>
                    </a:lnTo>
                    <a:lnTo>
                      <a:pt x="277" y="643"/>
                    </a:lnTo>
                    <a:lnTo>
                      <a:pt x="277" y="634"/>
                    </a:lnTo>
                    <a:lnTo>
                      <a:pt x="277" y="634"/>
                    </a:lnTo>
                    <a:lnTo>
                      <a:pt x="286" y="634"/>
                    </a:lnTo>
                    <a:lnTo>
                      <a:pt x="286" y="634"/>
                    </a:lnTo>
                    <a:lnTo>
                      <a:pt x="286" y="625"/>
                    </a:lnTo>
                    <a:lnTo>
                      <a:pt x="295" y="625"/>
                    </a:lnTo>
                    <a:lnTo>
                      <a:pt x="295" y="625"/>
                    </a:lnTo>
                    <a:lnTo>
                      <a:pt x="295" y="625"/>
                    </a:lnTo>
                    <a:lnTo>
                      <a:pt x="304" y="616"/>
                    </a:lnTo>
                    <a:lnTo>
                      <a:pt x="304" y="616"/>
                    </a:lnTo>
                    <a:lnTo>
                      <a:pt x="304" y="616"/>
                    </a:lnTo>
                    <a:lnTo>
                      <a:pt x="304" y="616"/>
                    </a:lnTo>
                    <a:lnTo>
                      <a:pt x="304" y="607"/>
                    </a:lnTo>
                    <a:lnTo>
                      <a:pt x="304" y="607"/>
                    </a:lnTo>
                    <a:lnTo>
                      <a:pt x="304" y="607"/>
                    </a:lnTo>
                    <a:lnTo>
                      <a:pt x="304" y="607"/>
                    </a:lnTo>
                    <a:lnTo>
                      <a:pt x="304" y="607"/>
                    </a:lnTo>
                    <a:lnTo>
                      <a:pt x="304" y="598"/>
                    </a:lnTo>
                    <a:lnTo>
                      <a:pt x="304" y="598"/>
                    </a:lnTo>
                    <a:lnTo>
                      <a:pt x="304" y="598"/>
                    </a:lnTo>
                    <a:lnTo>
                      <a:pt x="304" y="598"/>
                    </a:lnTo>
                    <a:lnTo>
                      <a:pt x="304" y="598"/>
                    </a:lnTo>
                    <a:lnTo>
                      <a:pt x="304" y="598"/>
                    </a:lnTo>
                    <a:lnTo>
                      <a:pt x="304" y="598"/>
                    </a:lnTo>
                    <a:lnTo>
                      <a:pt x="304" y="598"/>
                    </a:lnTo>
                    <a:lnTo>
                      <a:pt x="304" y="598"/>
                    </a:lnTo>
                    <a:lnTo>
                      <a:pt x="295" y="598"/>
                    </a:lnTo>
                    <a:lnTo>
                      <a:pt x="295" y="589"/>
                    </a:lnTo>
                    <a:lnTo>
                      <a:pt x="295" y="589"/>
                    </a:lnTo>
                    <a:lnTo>
                      <a:pt x="295" y="589"/>
                    </a:lnTo>
                    <a:lnTo>
                      <a:pt x="286" y="589"/>
                    </a:lnTo>
                    <a:lnTo>
                      <a:pt x="286" y="589"/>
                    </a:lnTo>
                    <a:lnTo>
                      <a:pt x="286" y="589"/>
                    </a:lnTo>
                    <a:lnTo>
                      <a:pt x="286" y="589"/>
                    </a:lnTo>
                    <a:lnTo>
                      <a:pt x="277" y="589"/>
                    </a:lnTo>
                    <a:lnTo>
                      <a:pt x="277" y="589"/>
                    </a:lnTo>
                    <a:lnTo>
                      <a:pt x="277" y="589"/>
                    </a:lnTo>
                    <a:lnTo>
                      <a:pt x="277" y="589"/>
                    </a:lnTo>
                    <a:lnTo>
                      <a:pt x="268" y="589"/>
                    </a:lnTo>
                    <a:lnTo>
                      <a:pt x="268" y="589"/>
                    </a:lnTo>
                    <a:lnTo>
                      <a:pt x="268" y="589"/>
                    </a:lnTo>
                    <a:lnTo>
                      <a:pt x="259" y="589"/>
                    </a:lnTo>
                    <a:lnTo>
                      <a:pt x="259" y="580"/>
                    </a:lnTo>
                    <a:lnTo>
                      <a:pt x="259" y="580"/>
                    </a:lnTo>
                    <a:lnTo>
                      <a:pt x="250" y="580"/>
                    </a:lnTo>
                    <a:lnTo>
                      <a:pt x="250" y="580"/>
                    </a:lnTo>
                    <a:lnTo>
                      <a:pt x="250" y="571"/>
                    </a:lnTo>
                    <a:lnTo>
                      <a:pt x="241" y="571"/>
                    </a:lnTo>
                    <a:lnTo>
                      <a:pt x="241" y="571"/>
                    </a:lnTo>
                    <a:lnTo>
                      <a:pt x="241" y="562"/>
                    </a:lnTo>
                    <a:lnTo>
                      <a:pt x="241" y="562"/>
                    </a:lnTo>
                    <a:lnTo>
                      <a:pt x="232" y="562"/>
                    </a:lnTo>
                    <a:lnTo>
                      <a:pt x="232" y="553"/>
                    </a:lnTo>
                    <a:lnTo>
                      <a:pt x="232" y="553"/>
                    </a:lnTo>
                    <a:lnTo>
                      <a:pt x="232" y="553"/>
                    </a:lnTo>
                    <a:lnTo>
                      <a:pt x="232" y="544"/>
                    </a:lnTo>
                    <a:lnTo>
                      <a:pt x="232" y="544"/>
                    </a:lnTo>
                    <a:lnTo>
                      <a:pt x="232" y="544"/>
                    </a:lnTo>
                    <a:lnTo>
                      <a:pt x="241" y="535"/>
                    </a:lnTo>
                    <a:lnTo>
                      <a:pt x="241" y="535"/>
                    </a:lnTo>
                    <a:lnTo>
                      <a:pt x="241" y="535"/>
                    </a:lnTo>
                    <a:lnTo>
                      <a:pt x="250" y="535"/>
                    </a:lnTo>
                    <a:lnTo>
                      <a:pt x="250" y="535"/>
                    </a:lnTo>
                    <a:lnTo>
                      <a:pt x="250" y="527"/>
                    </a:lnTo>
                    <a:lnTo>
                      <a:pt x="259" y="527"/>
                    </a:lnTo>
                    <a:lnTo>
                      <a:pt x="259" y="527"/>
                    </a:lnTo>
                    <a:lnTo>
                      <a:pt x="259" y="527"/>
                    </a:lnTo>
                    <a:lnTo>
                      <a:pt x="259" y="518"/>
                    </a:lnTo>
                    <a:lnTo>
                      <a:pt x="259" y="518"/>
                    </a:lnTo>
                    <a:lnTo>
                      <a:pt x="259" y="518"/>
                    </a:lnTo>
                    <a:lnTo>
                      <a:pt x="268" y="518"/>
                    </a:lnTo>
                    <a:lnTo>
                      <a:pt x="268" y="518"/>
                    </a:lnTo>
                    <a:lnTo>
                      <a:pt x="268" y="509"/>
                    </a:lnTo>
                    <a:lnTo>
                      <a:pt x="268" y="509"/>
                    </a:lnTo>
                    <a:lnTo>
                      <a:pt x="268" y="500"/>
                    </a:lnTo>
                    <a:lnTo>
                      <a:pt x="268" y="500"/>
                    </a:lnTo>
                    <a:lnTo>
                      <a:pt x="277" y="500"/>
                    </a:lnTo>
                    <a:lnTo>
                      <a:pt x="277" y="491"/>
                    </a:lnTo>
                    <a:lnTo>
                      <a:pt x="277" y="491"/>
                    </a:lnTo>
                    <a:lnTo>
                      <a:pt x="277" y="482"/>
                    </a:lnTo>
                    <a:lnTo>
                      <a:pt x="277" y="482"/>
                    </a:lnTo>
                    <a:lnTo>
                      <a:pt x="277" y="482"/>
                    </a:lnTo>
                    <a:lnTo>
                      <a:pt x="286" y="482"/>
                    </a:lnTo>
                    <a:lnTo>
                      <a:pt x="286" y="473"/>
                    </a:lnTo>
                    <a:lnTo>
                      <a:pt x="286" y="473"/>
                    </a:lnTo>
                    <a:lnTo>
                      <a:pt x="286" y="473"/>
                    </a:lnTo>
                    <a:lnTo>
                      <a:pt x="286" y="473"/>
                    </a:lnTo>
                    <a:lnTo>
                      <a:pt x="286" y="473"/>
                    </a:lnTo>
                    <a:lnTo>
                      <a:pt x="286" y="464"/>
                    </a:lnTo>
                    <a:lnTo>
                      <a:pt x="295" y="464"/>
                    </a:lnTo>
                    <a:lnTo>
                      <a:pt x="295" y="464"/>
                    </a:lnTo>
                    <a:lnTo>
                      <a:pt x="295" y="464"/>
                    </a:lnTo>
                    <a:lnTo>
                      <a:pt x="295" y="455"/>
                    </a:lnTo>
                    <a:lnTo>
                      <a:pt x="295" y="455"/>
                    </a:lnTo>
                    <a:lnTo>
                      <a:pt x="295" y="455"/>
                    </a:lnTo>
                    <a:lnTo>
                      <a:pt x="295" y="446"/>
                    </a:lnTo>
                    <a:lnTo>
                      <a:pt x="295" y="446"/>
                    </a:lnTo>
                    <a:lnTo>
                      <a:pt x="295" y="446"/>
                    </a:lnTo>
                    <a:lnTo>
                      <a:pt x="295" y="446"/>
                    </a:lnTo>
                    <a:lnTo>
                      <a:pt x="295" y="437"/>
                    </a:lnTo>
                    <a:lnTo>
                      <a:pt x="295" y="437"/>
                    </a:lnTo>
                    <a:lnTo>
                      <a:pt x="295" y="437"/>
                    </a:lnTo>
                    <a:lnTo>
                      <a:pt x="295" y="428"/>
                    </a:lnTo>
                    <a:lnTo>
                      <a:pt x="295" y="428"/>
                    </a:lnTo>
                    <a:lnTo>
                      <a:pt x="295" y="428"/>
                    </a:lnTo>
                    <a:lnTo>
                      <a:pt x="295" y="419"/>
                    </a:lnTo>
                    <a:lnTo>
                      <a:pt x="286" y="419"/>
                    </a:lnTo>
                    <a:lnTo>
                      <a:pt x="286" y="419"/>
                    </a:lnTo>
                    <a:lnTo>
                      <a:pt x="286" y="410"/>
                    </a:lnTo>
                    <a:lnTo>
                      <a:pt x="277" y="410"/>
                    </a:lnTo>
                    <a:lnTo>
                      <a:pt x="277" y="410"/>
                    </a:lnTo>
                    <a:lnTo>
                      <a:pt x="277" y="402"/>
                    </a:lnTo>
                    <a:lnTo>
                      <a:pt x="277" y="402"/>
                    </a:lnTo>
                    <a:lnTo>
                      <a:pt x="277" y="402"/>
                    </a:lnTo>
                    <a:lnTo>
                      <a:pt x="277" y="393"/>
                    </a:lnTo>
                    <a:lnTo>
                      <a:pt x="277" y="393"/>
                    </a:lnTo>
                    <a:lnTo>
                      <a:pt x="277" y="384"/>
                    </a:lnTo>
                    <a:lnTo>
                      <a:pt x="277" y="384"/>
                    </a:lnTo>
                    <a:lnTo>
                      <a:pt x="277" y="375"/>
                    </a:lnTo>
                    <a:lnTo>
                      <a:pt x="277" y="375"/>
                    </a:lnTo>
                    <a:lnTo>
                      <a:pt x="277" y="366"/>
                    </a:lnTo>
                    <a:lnTo>
                      <a:pt x="277" y="366"/>
                    </a:lnTo>
                    <a:lnTo>
                      <a:pt x="277" y="357"/>
                    </a:lnTo>
                    <a:lnTo>
                      <a:pt x="277" y="357"/>
                    </a:lnTo>
                    <a:lnTo>
                      <a:pt x="277" y="348"/>
                    </a:lnTo>
                    <a:lnTo>
                      <a:pt x="277" y="339"/>
                    </a:lnTo>
                    <a:lnTo>
                      <a:pt x="277" y="339"/>
                    </a:lnTo>
                    <a:lnTo>
                      <a:pt x="277" y="330"/>
                    </a:lnTo>
                    <a:lnTo>
                      <a:pt x="268" y="330"/>
                    </a:lnTo>
                    <a:lnTo>
                      <a:pt x="268" y="330"/>
                    </a:lnTo>
                    <a:lnTo>
                      <a:pt x="268" y="330"/>
                    </a:lnTo>
                    <a:lnTo>
                      <a:pt x="268" y="330"/>
                    </a:lnTo>
                    <a:lnTo>
                      <a:pt x="259" y="330"/>
                    </a:lnTo>
                    <a:lnTo>
                      <a:pt x="259" y="330"/>
                    </a:lnTo>
                    <a:lnTo>
                      <a:pt x="250" y="330"/>
                    </a:lnTo>
                    <a:lnTo>
                      <a:pt x="250" y="330"/>
                    </a:lnTo>
                    <a:lnTo>
                      <a:pt x="250" y="330"/>
                    </a:lnTo>
                    <a:lnTo>
                      <a:pt x="250" y="321"/>
                    </a:lnTo>
                    <a:lnTo>
                      <a:pt x="250" y="321"/>
                    </a:lnTo>
                    <a:lnTo>
                      <a:pt x="250" y="312"/>
                    </a:lnTo>
                    <a:lnTo>
                      <a:pt x="250" y="312"/>
                    </a:lnTo>
                    <a:lnTo>
                      <a:pt x="250" y="312"/>
                    </a:lnTo>
                    <a:lnTo>
                      <a:pt x="250" y="303"/>
                    </a:lnTo>
                    <a:lnTo>
                      <a:pt x="250" y="303"/>
                    </a:lnTo>
                    <a:lnTo>
                      <a:pt x="250" y="294"/>
                    </a:lnTo>
                    <a:lnTo>
                      <a:pt x="250" y="294"/>
                    </a:lnTo>
                    <a:lnTo>
                      <a:pt x="250" y="294"/>
                    </a:lnTo>
                    <a:lnTo>
                      <a:pt x="250" y="285"/>
                    </a:lnTo>
                    <a:lnTo>
                      <a:pt x="250" y="285"/>
                    </a:lnTo>
                    <a:lnTo>
                      <a:pt x="250" y="285"/>
                    </a:lnTo>
                    <a:lnTo>
                      <a:pt x="250" y="285"/>
                    </a:lnTo>
                    <a:lnTo>
                      <a:pt x="250" y="277"/>
                    </a:lnTo>
                    <a:lnTo>
                      <a:pt x="250" y="277"/>
                    </a:lnTo>
                    <a:lnTo>
                      <a:pt x="250" y="277"/>
                    </a:lnTo>
                    <a:lnTo>
                      <a:pt x="250" y="277"/>
                    </a:lnTo>
                    <a:lnTo>
                      <a:pt x="250" y="268"/>
                    </a:lnTo>
                    <a:lnTo>
                      <a:pt x="241" y="268"/>
                    </a:lnTo>
                    <a:lnTo>
                      <a:pt x="241" y="268"/>
                    </a:lnTo>
                    <a:lnTo>
                      <a:pt x="241" y="268"/>
                    </a:lnTo>
                    <a:lnTo>
                      <a:pt x="241" y="268"/>
                    </a:lnTo>
                    <a:lnTo>
                      <a:pt x="241" y="259"/>
                    </a:lnTo>
                    <a:lnTo>
                      <a:pt x="241" y="259"/>
                    </a:lnTo>
                    <a:lnTo>
                      <a:pt x="241" y="259"/>
                    </a:lnTo>
                    <a:lnTo>
                      <a:pt x="241" y="250"/>
                    </a:lnTo>
                    <a:lnTo>
                      <a:pt x="241" y="250"/>
                    </a:lnTo>
                    <a:lnTo>
                      <a:pt x="241" y="250"/>
                    </a:lnTo>
                    <a:lnTo>
                      <a:pt x="241" y="241"/>
                    </a:lnTo>
                    <a:lnTo>
                      <a:pt x="241" y="241"/>
                    </a:lnTo>
                    <a:lnTo>
                      <a:pt x="241" y="241"/>
                    </a:lnTo>
                    <a:lnTo>
                      <a:pt x="241" y="232"/>
                    </a:lnTo>
                    <a:lnTo>
                      <a:pt x="241" y="232"/>
                    </a:lnTo>
                    <a:lnTo>
                      <a:pt x="241" y="232"/>
                    </a:lnTo>
                    <a:lnTo>
                      <a:pt x="241" y="232"/>
                    </a:lnTo>
                    <a:lnTo>
                      <a:pt x="241" y="232"/>
                    </a:lnTo>
                    <a:lnTo>
                      <a:pt x="241" y="232"/>
                    </a:lnTo>
                    <a:lnTo>
                      <a:pt x="241" y="232"/>
                    </a:lnTo>
                    <a:lnTo>
                      <a:pt x="232" y="232"/>
                    </a:lnTo>
                    <a:lnTo>
                      <a:pt x="232" y="232"/>
                    </a:lnTo>
                    <a:lnTo>
                      <a:pt x="232" y="232"/>
                    </a:lnTo>
                    <a:lnTo>
                      <a:pt x="223" y="232"/>
                    </a:lnTo>
                    <a:lnTo>
                      <a:pt x="223" y="232"/>
                    </a:lnTo>
                    <a:lnTo>
                      <a:pt x="214" y="232"/>
                    </a:lnTo>
                    <a:lnTo>
                      <a:pt x="214" y="232"/>
                    </a:lnTo>
                    <a:lnTo>
                      <a:pt x="205" y="223"/>
                    </a:lnTo>
                    <a:lnTo>
                      <a:pt x="205" y="223"/>
                    </a:lnTo>
                    <a:lnTo>
                      <a:pt x="205" y="223"/>
                    </a:lnTo>
                    <a:lnTo>
                      <a:pt x="196" y="223"/>
                    </a:lnTo>
                    <a:lnTo>
                      <a:pt x="196" y="223"/>
                    </a:lnTo>
                    <a:lnTo>
                      <a:pt x="187" y="223"/>
                    </a:lnTo>
                    <a:lnTo>
                      <a:pt x="187" y="223"/>
                    </a:lnTo>
                    <a:lnTo>
                      <a:pt x="187" y="223"/>
                    </a:lnTo>
                    <a:lnTo>
                      <a:pt x="179" y="223"/>
                    </a:lnTo>
                    <a:lnTo>
                      <a:pt x="179" y="223"/>
                    </a:lnTo>
                    <a:lnTo>
                      <a:pt x="179" y="223"/>
                    </a:lnTo>
                    <a:lnTo>
                      <a:pt x="170" y="214"/>
                    </a:lnTo>
                    <a:lnTo>
                      <a:pt x="170" y="214"/>
                    </a:lnTo>
                    <a:lnTo>
                      <a:pt x="170" y="214"/>
                    </a:lnTo>
                    <a:lnTo>
                      <a:pt x="170" y="214"/>
                    </a:lnTo>
                    <a:lnTo>
                      <a:pt x="170" y="205"/>
                    </a:lnTo>
                    <a:lnTo>
                      <a:pt x="170" y="205"/>
                    </a:lnTo>
                    <a:lnTo>
                      <a:pt x="170" y="205"/>
                    </a:lnTo>
                    <a:lnTo>
                      <a:pt x="170" y="205"/>
                    </a:lnTo>
                    <a:lnTo>
                      <a:pt x="170" y="205"/>
                    </a:lnTo>
                    <a:lnTo>
                      <a:pt x="170" y="196"/>
                    </a:lnTo>
                    <a:lnTo>
                      <a:pt x="161" y="196"/>
                    </a:lnTo>
                    <a:lnTo>
                      <a:pt x="161" y="196"/>
                    </a:lnTo>
                    <a:lnTo>
                      <a:pt x="161" y="196"/>
                    </a:lnTo>
                    <a:lnTo>
                      <a:pt x="161" y="196"/>
                    </a:lnTo>
                    <a:lnTo>
                      <a:pt x="161" y="196"/>
                    </a:lnTo>
                    <a:lnTo>
                      <a:pt x="152" y="196"/>
                    </a:lnTo>
                    <a:lnTo>
                      <a:pt x="152" y="187"/>
                    </a:lnTo>
                    <a:lnTo>
                      <a:pt x="152" y="187"/>
                    </a:lnTo>
                    <a:lnTo>
                      <a:pt x="152" y="187"/>
                    </a:lnTo>
                    <a:lnTo>
                      <a:pt x="143" y="187"/>
                    </a:lnTo>
                    <a:lnTo>
                      <a:pt x="143" y="187"/>
                    </a:lnTo>
                    <a:lnTo>
                      <a:pt x="134" y="187"/>
                    </a:lnTo>
                    <a:lnTo>
                      <a:pt x="134" y="187"/>
                    </a:lnTo>
                    <a:lnTo>
                      <a:pt x="125" y="187"/>
                    </a:lnTo>
                    <a:lnTo>
                      <a:pt x="125" y="187"/>
                    </a:lnTo>
                    <a:lnTo>
                      <a:pt x="116" y="187"/>
                    </a:lnTo>
                    <a:lnTo>
                      <a:pt x="107" y="187"/>
                    </a:lnTo>
                    <a:lnTo>
                      <a:pt x="98" y="187"/>
                    </a:lnTo>
                    <a:lnTo>
                      <a:pt x="89" y="187"/>
                    </a:lnTo>
                    <a:lnTo>
                      <a:pt x="89" y="187"/>
                    </a:lnTo>
                    <a:lnTo>
                      <a:pt x="80" y="187"/>
                    </a:lnTo>
                    <a:lnTo>
                      <a:pt x="71" y="187"/>
                    </a:lnTo>
                    <a:lnTo>
                      <a:pt x="71" y="187"/>
                    </a:lnTo>
                    <a:lnTo>
                      <a:pt x="62" y="187"/>
                    </a:lnTo>
                    <a:lnTo>
                      <a:pt x="53" y="187"/>
                    </a:lnTo>
                    <a:lnTo>
                      <a:pt x="53" y="187"/>
                    </a:lnTo>
                    <a:lnTo>
                      <a:pt x="45" y="187"/>
                    </a:lnTo>
                    <a:lnTo>
                      <a:pt x="45" y="187"/>
                    </a:lnTo>
                    <a:lnTo>
                      <a:pt x="36" y="178"/>
                    </a:lnTo>
                    <a:lnTo>
                      <a:pt x="36" y="178"/>
                    </a:lnTo>
                    <a:lnTo>
                      <a:pt x="36" y="187"/>
                    </a:lnTo>
                    <a:lnTo>
                      <a:pt x="27" y="187"/>
                    </a:lnTo>
                    <a:lnTo>
                      <a:pt x="27" y="187"/>
                    </a:lnTo>
                    <a:lnTo>
                      <a:pt x="27" y="187"/>
                    </a:lnTo>
                    <a:lnTo>
                      <a:pt x="27" y="187"/>
                    </a:lnTo>
                    <a:lnTo>
                      <a:pt x="27" y="187"/>
                    </a:lnTo>
                    <a:lnTo>
                      <a:pt x="18" y="178"/>
                    </a:lnTo>
                    <a:lnTo>
                      <a:pt x="18" y="178"/>
                    </a:lnTo>
                    <a:lnTo>
                      <a:pt x="18" y="178"/>
                    </a:lnTo>
                    <a:lnTo>
                      <a:pt x="18" y="169"/>
                    </a:lnTo>
                    <a:lnTo>
                      <a:pt x="18" y="169"/>
                    </a:lnTo>
                    <a:lnTo>
                      <a:pt x="27" y="169"/>
                    </a:lnTo>
                    <a:lnTo>
                      <a:pt x="27" y="160"/>
                    </a:lnTo>
                    <a:lnTo>
                      <a:pt x="27" y="160"/>
                    </a:lnTo>
                    <a:lnTo>
                      <a:pt x="27" y="152"/>
                    </a:lnTo>
                    <a:lnTo>
                      <a:pt x="27" y="152"/>
                    </a:lnTo>
                    <a:lnTo>
                      <a:pt x="27" y="143"/>
                    </a:lnTo>
                    <a:lnTo>
                      <a:pt x="27" y="134"/>
                    </a:lnTo>
                    <a:lnTo>
                      <a:pt x="27" y="125"/>
                    </a:lnTo>
                    <a:lnTo>
                      <a:pt x="36" y="125"/>
                    </a:lnTo>
                    <a:lnTo>
                      <a:pt x="36" y="116"/>
                    </a:lnTo>
                    <a:lnTo>
                      <a:pt x="36" y="107"/>
                    </a:lnTo>
                    <a:lnTo>
                      <a:pt x="36" y="98"/>
                    </a:lnTo>
                    <a:lnTo>
                      <a:pt x="27" y="98"/>
                    </a:lnTo>
                    <a:lnTo>
                      <a:pt x="27" y="98"/>
                    </a:lnTo>
                    <a:lnTo>
                      <a:pt x="27" y="89"/>
                    </a:lnTo>
                    <a:lnTo>
                      <a:pt x="27" y="89"/>
                    </a:lnTo>
                    <a:lnTo>
                      <a:pt x="18" y="89"/>
                    </a:lnTo>
                    <a:lnTo>
                      <a:pt x="18" y="80"/>
                    </a:lnTo>
                    <a:lnTo>
                      <a:pt x="18" y="80"/>
                    </a:lnTo>
                    <a:lnTo>
                      <a:pt x="9" y="80"/>
                    </a:lnTo>
                    <a:lnTo>
                      <a:pt x="9" y="71"/>
                    </a:lnTo>
                    <a:lnTo>
                      <a:pt x="9" y="71"/>
                    </a:lnTo>
                    <a:lnTo>
                      <a:pt x="0" y="71"/>
                    </a:lnTo>
                    <a:lnTo>
                      <a:pt x="0" y="71"/>
                    </a:lnTo>
                    <a:lnTo>
                      <a:pt x="0" y="62"/>
                    </a:lnTo>
                    <a:lnTo>
                      <a:pt x="0" y="62"/>
                    </a:lnTo>
                    <a:lnTo>
                      <a:pt x="0" y="62"/>
                    </a:lnTo>
                    <a:lnTo>
                      <a:pt x="0" y="53"/>
                    </a:lnTo>
                    <a:lnTo>
                      <a:pt x="0" y="53"/>
                    </a:lnTo>
                    <a:lnTo>
                      <a:pt x="0" y="53"/>
                    </a:lnTo>
                    <a:lnTo>
                      <a:pt x="9" y="53"/>
                    </a:lnTo>
                    <a:lnTo>
                      <a:pt x="9" y="53"/>
                    </a:lnTo>
                    <a:lnTo>
                      <a:pt x="18" y="53"/>
                    </a:lnTo>
                    <a:lnTo>
                      <a:pt x="27" y="53"/>
                    </a:lnTo>
                    <a:lnTo>
                      <a:pt x="27" y="53"/>
                    </a:lnTo>
                    <a:lnTo>
                      <a:pt x="36" y="53"/>
                    </a:lnTo>
                    <a:lnTo>
                      <a:pt x="36" y="44"/>
                    </a:lnTo>
                    <a:lnTo>
                      <a:pt x="36" y="44"/>
                    </a:lnTo>
                    <a:lnTo>
                      <a:pt x="45" y="44"/>
                    </a:lnTo>
                    <a:lnTo>
                      <a:pt x="45" y="44"/>
                    </a:lnTo>
                    <a:lnTo>
                      <a:pt x="53" y="44"/>
                    </a:lnTo>
                    <a:lnTo>
                      <a:pt x="53" y="35"/>
                    </a:lnTo>
                    <a:lnTo>
                      <a:pt x="53" y="35"/>
                    </a:lnTo>
                    <a:lnTo>
                      <a:pt x="62" y="35"/>
                    </a:lnTo>
                    <a:lnTo>
                      <a:pt x="62" y="35"/>
                    </a:lnTo>
                    <a:lnTo>
                      <a:pt x="71" y="35"/>
                    </a:lnTo>
                    <a:lnTo>
                      <a:pt x="71" y="27"/>
                    </a:lnTo>
                    <a:lnTo>
                      <a:pt x="80" y="27"/>
                    </a:lnTo>
                    <a:lnTo>
                      <a:pt x="80" y="27"/>
                    </a:lnTo>
                    <a:lnTo>
                      <a:pt x="89" y="27"/>
                    </a:lnTo>
                    <a:lnTo>
                      <a:pt x="89" y="27"/>
                    </a:lnTo>
                    <a:lnTo>
                      <a:pt x="89" y="27"/>
                    </a:lnTo>
                    <a:lnTo>
                      <a:pt x="98" y="27"/>
                    </a:lnTo>
                    <a:lnTo>
                      <a:pt x="98" y="27"/>
                    </a:lnTo>
                    <a:lnTo>
                      <a:pt x="107" y="27"/>
                    </a:lnTo>
                    <a:lnTo>
                      <a:pt x="107" y="27"/>
                    </a:lnTo>
                    <a:lnTo>
                      <a:pt x="107" y="27"/>
                    </a:lnTo>
                    <a:lnTo>
                      <a:pt x="116" y="27"/>
                    </a:lnTo>
                    <a:lnTo>
                      <a:pt x="116" y="27"/>
                    </a:lnTo>
                    <a:lnTo>
                      <a:pt x="116" y="18"/>
                    </a:lnTo>
                    <a:lnTo>
                      <a:pt x="116" y="27"/>
                    </a:lnTo>
                    <a:lnTo>
                      <a:pt x="116" y="27"/>
                    </a:lnTo>
                    <a:lnTo>
                      <a:pt x="125" y="27"/>
                    </a:lnTo>
                    <a:lnTo>
                      <a:pt x="125" y="27"/>
                    </a:lnTo>
                    <a:lnTo>
                      <a:pt x="125" y="27"/>
                    </a:lnTo>
                    <a:lnTo>
                      <a:pt x="134" y="35"/>
                    </a:lnTo>
                    <a:lnTo>
                      <a:pt x="134" y="35"/>
                    </a:lnTo>
                    <a:lnTo>
                      <a:pt x="134" y="35"/>
                    </a:lnTo>
                    <a:lnTo>
                      <a:pt x="134" y="35"/>
                    </a:lnTo>
                    <a:lnTo>
                      <a:pt x="134" y="35"/>
                    </a:lnTo>
                    <a:lnTo>
                      <a:pt x="134" y="35"/>
                    </a:lnTo>
                    <a:lnTo>
                      <a:pt x="143" y="35"/>
                    </a:lnTo>
                    <a:lnTo>
                      <a:pt x="143" y="35"/>
                    </a:lnTo>
                    <a:lnTo>
                      <a:pt x="143" y="44"/>
                    </a:lnTo>
                    <a:lnTo>
                      <a:pt x="143" y="44"/>
                    </a:lnTo>
                    <a:lnTo>
                      <a:pt x="143" y="44"/>
                    </a:lnTo>
                    <a:lnTo>
                      <a:pt x="152" y="44"/>
                    </a:lnTo>
                    <a:lnTo>
                      <a:pt x="152" y="44"/>
                    </a:lnTo>
                    <a:lnTo>
                      <a:pt x="152" y="44"/>
                    </a:lnTo>
                    <a:lnTo>
                      <a:pt x="161" y="44"/>
                    </a:lnTo>
                    <a:lnTo>
                      <a:pt x="161" y="44"/>
                    </a:lnTo>
                    <a:lnTo>
                      <a:pt x="161" y="44"/>
                    </a:lnTo>
                    <a:lnTo>
                      <a:pt x="161" y="44"/>
                    </a:lnTo>
                    <a:lnTo>
                      <a:pt x="170" y="44"/>
                    </a:lnTo>
                    <a:lnTo>
                      <a:pt x="170" y="44"/>
                    </a:lnTo>
                    <a:lnTo>
                      <a:pt x="170" y="44"/>
                    </a:lnTo>
                    <a:lnTo>
                      <a:pt x="170" y="35"/>
                    </a:lnTo>
                    <a:lnTo>
                      <a:pt x="170" y="35"/>
                    </a:lnTo>
                    <a:lnTo>
                      <a:pt x="170" y="35"/>
                    </a:lnTo>
                    <a:lnTo>
                      <a:pt x="170" y="35"/>
                    </a:lnTo>
                    <a:lnTo>
                      <a:pt x="179" y="35"/>
                    </a:lnTo>
                    <a:lnTo>
                      <a:pt x="179" y="35"/>
                    </a:lnTo>
                    <a:lnTo>
                      <a:pt x="179" y="35"/>
                    </a:lnTo>
                    <a:lnTo>
                      <a:pt x="179" y="35"/>
                    </a:lnTo>
                    <a:lnTo>
                      <a:pt x="179" y="35"/>
                    </a:lnTo>
                    <a:lnTo>
                      <a:pt x="179" y="35"/>
                    </a:lnTo>
                    <a:lnTo>
                      <a:pt x="179" y="27"/>
                    </a:lnTo>
                    <a:lnTo>
                      <a:pt x="179" y="27"/>
                    </a:lnTo>
                    <a:lnTo>
                      <a:pt x="179" y="27"/>
                    </a:lnTo>
                    <a:lnTo>
                      <a:pt x="179" y="27"/>
                    </a:lnTo>
                    <a:lnTo>
                      <a:pt x="187" y="27"/>
                    </a:lnTo>
                    <a:lnTo>
                      <a:pt x="187" y="27"/>
                    </a:lnTo>
                    <a:lnTo>
                      <a:pt x="187" y="27"/>
                    </a:lnTo>
                    <a:lnTo>
                      <a:pt x="196" y="27"/>
                    </a:lnTo>
                    <a:lnTo>
                      <a:pt x="196" y="27"/>
                    </a:lnTo>
                    <a:lnTo>
                      <a:pt x="196" y="27"/>
                    </a:lnTo>
                    <a:lnTo>
                      <a:pt x="205" y="27"/>
                    </a:lnTo>
                    <a:lnTo>
                      <a:pt x="205" y="27"/>
                    </a:lnTo>
                    <a:lnTo>
                      <a:pt x="205" y="27"/>
                    </a:lnTo>
                    <a:lnTo>
                      <a:pt x="205" y="27"/>
                    </a:lnTo>
                    <a:lnTo>
                      <a:pt x="205" y="27"/>
                    </a:lnTo>
                    <a:lnTo>
                      <a:pt x="205" y="27"/>
                    </a:lnTo>
                    <a:lnTo>
                      <a:pt x="214" y="27"/>
                    </a:lnTo>
                    <a:lnTo>
                      <a:pt x="214" y="27"/>
                    </a:lnTo>
                    <a:lnTo>
                      <a:pt x="214" y="27"/>
                    </a:lnTo>
                    <a:lnTo>
                      <a:pt x="214" y="27"/>
                    </a:lnTo>
                    <a:lnTo>
                      <a:pt x="214" y="35"/>
                    </a:lnTo>
                    <a:lnTo>
                      <a:pt x="214" y="35"/>
                    </a:lnTo>
                    <a:lnTo>
                      <a:pt x="214" y="35"/>
                    </a:lnTo>
                    <a:lnTo>
                      <a:pt x="214" y="44"/>
                    </a:lnTo>
                    <a:lnTo>
                      <a:pt x="214" y="44"/>
                    </a:lnTo>
                    <a:lnTo>
                      <a:pt x="214" y="44"/>
                    </a:lnTo>
                    <a:lnTo>
                      <a:pt x="214" y="44"/>
                    </a:lnTo>
                    <a:lnTo>
                      <a:pt x="214" y="53"/>
                    </a:lnTo>
                    <a:lnTo>
                      <a:pt x="223" y="53"/>
                    </a:lnTo>
                    <a:lnTo>
                      <a:pt x="223" y="53"/>
                    </a:lnTo>
                    <a:lnTo>
                      <a:pt x="223" y="53"/>
                    </a:lnTo>
                    <a:lnTo>
                      <a:pt x="232" y="53"/>
                    </a:lnTo>
                    <a:lnTo>
                      <a:pt x="232" y="53"/>
                    </a:lnTo>
                    <a:lnTo>
                      <a:pt x="232" y="53"/>
                    </a:lnTo>
                    <a:lnTo>
                      <a:pt x="241" y="53"/>
                    </a:lnTo>
                    <a:lnTo>
                      <a:pt x="241" y="53"/>
                    </a:lnTo>
                    <a:lnTo>
                      <a:pt x="241" y="53"/>
                    </a:lnTo>
                    <a:lnTo>
                      <a:pt x="250" y="62"/>
                    </a:lnTo>
                    <a:lnTo>
                      <a:pt x="250" y="62"/>
                    </a:lnTo>
                    <a:lnTo>
                      <a:pt x="250" y="62"/>
                    </a:lnTo>
                    <a:lnTo>
                      <a:pt x="250" y="62"/>
                    </a:lnTo>
                    <a:lnTo>
                      <a:pt x="259" y="62"/>
                    </a:lnTo>
                    <a:lnTo>
                      <a:pt x="259" y="62"/>
                    </a:lnTo>
                    <a:lnTo>
                      <a:pt x="259" y="62"/>
                    </a:lnTo>
                    <a:lnTo>
                      <a:pt x="259" y="62"/>
                    </a:lnTo>
                    <a:lnTo>
                      <a:pt x="259" y="62"/>
                    </a:lnTo>
                    <a:lnTo>
                      <a:pt x="268" y="62"/>
                    </a:lnTo>
                    <a:lnTo>
                      <a:pt x="268" y="62"/>
                    </a:lnTo>
                    <a:lnTo>
                      <a:pt x="268" y="62"/>
                    </a:lnTo>
                    <a:lnTo>
                      <a:pt x="268" y="62"/>
                    </a:lnTo>
                    <a:lnTo>
                      <a:pt x="268" y="62"/>
                    </a:lnTo>
                    <a:lnTo>
                      <a:pt x="268" y="62"/>
                    </a:lnTo>
                    <a:lnTo>
                      <a:pt x="268" y="53"/>
                    </a:lnTo>
                    <a:lnTo>
                      <a:pt x="268" y="53"/>
                    </a:lnTo>
                    <a:lnTo>
                      <a:pt x="268" y="53"/>
                    </a:lnTo>
                    <a:lnTo>
                      <a:pt x="268" y="44"/>
                    </a:lnTo>
                    <a:lnTo>
                      <a:pt x="268" y="44"/>
                    </a:lnTo>
                    <a:lnTo>
                      <a:pt x="268" y="44"/>
                    </a:lnTo>
                    <a:lnTo>
                      <a:pt x="268" y="44"/>
                    </a:lnTo>
                    <a:lnTo>
                      <a:pt x="268" y="35"/>
                    </a:lnTo>
                    <a:lnTo>
                      <a:pt x="268" y="35"/>
                    </a:lnTo>
                    <a:lnTo>
                      <a:pt x="268" y="35"/>
                    </a:lnTo>
                    <a:lnTo>
                      <a:pt x="268" y="35"/>
                    </a:lnTo>
                    <a:lnTo>
                      <a:pt x="268" y="27"/>
                    </a:lnTo>
                    <a:lnTo>
                      <a:pt x="268" y="27"/>
                    </a:lnTo>
                    <a:lnTo>
                      <a:pt x="268" y="27"/>
                    </a:lnTo>
                    <a:lnTo>
                      <a:pt x="268" y="27"/>
                    </a:lnTo>
                    <a:lnTo>
                      <a:pt x="268" y="18"/>
                    </a:lnTo>
                    <a:lnTo>
                      <a:pt x="268" y="18"/>
                    </a:lnTo>
                    <a:lnTo>
                      <a:pt x="277" y="18"/>
                    </a:lnTo>
                    <a:lnTo>
                      <a:pt x="277" y="18"/>
                    </a:lnTo>
                    <a:lnTo>
                      <a:pt x="277" y="18"/>
                    </a:lnTo>
                    <a:lnTo>
                      <a:pt x="277" y="9"/>
                    </a:lnTo>
                    <a:lnTo>
                      <a:pt x="277" y="9"/>
                    </a:lnTo>
                    <a:lnTo>
                      <a:pt x="277" y="9"/>
                    </a:lnTo>
                    <a:lnTo>
                      <a:pt x="286" y="9"/>
                    </a:lnTo>
                    <a:lnTo>
                      <a:pt x="286" y="9"/>
                    </a:lnTo>
                    <a:lnTo>
                      <a:pt x="286" y="9"/>
                    </a:lnTo>
                    <a:lnTo>
                      <a:pt x="286" y="9"/>
                    </a:lnTo>
                    <a:lnTo>
                      <a:pt x="286" y="9"/>
                    </a:lnTo>
                    <a:lnTo>
                      <a:pt x="295" y="9"/>
                    </a:lnTo>
                    <a:lnTo>
                      <a:pt x="295" y="0"/>
                    </a:lnTo>
                    <a:lnTo>
                      <a:pt x="295" y="0"/>
                    </a:lnTo>
                    <a:lnTo>
                      <a:pt x="295" y="0"/>
                    </a:lnTo>
                    <a:lnTo>
                      <a:pt x="304" y="0"/>
                    </a:lnTo>
                    <a:lnTo>
                      <a:pt x="304" y="9"/>
                    </a:lnTo>
                    <a:lnTo>
                      <a:pt x="304" y="9"/>
                    </a:lnTo>
                    <a:lnTo>
                      <a:pt x="304" y="9"/>
                    </a:lnTo>
                    <a:lnTo>
                      <a:pt x="312" y="9"/>
                    </a:lnTo>
                    <a:lnTo>
                      <a:pt x="312" y="9"/>
                    </a:lnTo>
                    <a:lnTo>
                      <a:pt x="312" y="9"/>
                    </a:lnTo>
                    <a:lnTo>
                      <a:pt x="312" y="9"/>
                    </a:lnTo>
                    <a:lnTo>
                      <a:pt x="312" y="18"/>
                    </a:lnTo>
                    <a:lnTo>
                      <a:pt x="312" y="18"/>
                    </a:lnTo>
                    <a:lnTo>
                      <a:pt x="312" y="18"/>
                    </a:lnTo>
                    <a:lnTo>
                      <a:pt x="312" y="18"/>
                    </a:lnTo>
                    <a:lnTo>
                      <a:pt x="312" y="18"/>
                    </a:lnTo>
                    <a:lnTo>
                      <a:pt x="312" y="18"/>
                    </a:lnTo>
                    <a:lnTo>
                      <a:pt x="312" y="27"/>
                    </a:lnTo>
                    <a:lnTo>
                      <a:pt x="312" y="27"/>
                    </a:lnTo>
                    <a:lnTo>
                      <a:pt x="321" y="27"/>
                    </a:lnTo>
                    <a:lnTo>
                      <a:pt x="321" y="18"/>
                    </a:lnTo>
                    <a:lnTo>
                      <a:pt x="321" y="18"/>
                    </a:lnTo>
                    <a:lnTo>
                      <a:pt x="330" y="18"/>
                    </a:lnTo>
                    <a:lnTo>
                      <a:pt x="330" y="18"/>
                    </a:lnTo>
                    <a:lnTo>
                      <a:pt x="330" y="18"/>
                    </a:lnTo>
                    <a:lnTo>
                      <a:pt x="330" y="9"/>
                    </a:lnTo>
                    <a:lnTo>
                      <a:pt x="339" y="9"/>
                    </a:lnTo>
                    <a:lnTo>
                      <a:pt x="339" y="9"/>
                    </a:lnTo>
                    <a:lnTo>
                      <a:pt x="339" y="9"/>
                    </a:lnTo>
                    <a:lnTo>
                      <a:pt x="339" y="9"/>
                    </a:lnTo>
                    <a:lnTo>
                      <a:pt x="339" y="9"/>
                    </a:lnTo>
                    <a:lnTo>
                      <a:pt x="348" y="9"/>
                    </a:lnTo>
                    <a:lnTo>
                      <a:pt x="348" y="9"/>
                    </a:lnTo>
                    <a:lnTo>
                      <a:pt x="348" y="9"/>
                    </a:lnTo>
                    <a:lnTo>
                      <a:pt x="348" y="9"/>
                    </a:lnTo>
                    <a:lnTo>
                      <a:pt x="348" y="18"/>
                    </a:lnTo>
                    <a:lnTo>
                      <a:pt x="348" y="18"/>
                    </a:lnTo>
                    <a:lnTo>
                      <a:pt x="348" y="18"/>
                    </a:lnTo>
                    <a:lnTo>
                      <a:pt x="348" y="27"/>
                    </a:lnTo>
                    <a:lnTo>
                      <a:pt x="348" y="27"/>
                    </a:lnTo>
                    <a:lnTo>
                      <a:pt x="348" y="27"/>
                    </a:lnTo>
                    <a:lnTo>
                      <a:pt x="348" y="27"/>
                    </a:lnTo>
                    <a:lnTo>
                      <a:pt x="348" y="35"/>
                    </a:lnTo>
                    <a:lnTo>
                      <a:pt x="348" y="35"/>
                    </a:lnTo>
                    <a:lnTo>
                      <a:pt x="348" y="35"/>
                    </a:lnTo>
                    <a:lnTo>
                      <a:pt x="348" y="44"/>
                    </a:lnTo>
                    <a:lnTo>
                      <a:pt x="348" y="44"/>
                    </a:lnTo>
                    <a:lnTo>
                      <a:pt x="348" y="44"/>
                    </a:lnTo>
                    <a:lnTo>
                      <a:pt x="348" y="44"/>
                    </a:lnTo>
                    <a:lnTo>
                      <a:pt x="348" y="53"/>
                    </a:lnTo>
                    <a:lnTo>
                      <a:pt x="348" y="53"/>
                    </a:lnTo>
                    <a:lnTo>
                      <a:pt x="348" y="53"/>
                    </a:lnTo>
                    <a:lnTo>
                      <a:pt x="348" y="62"/>
                    </a:lnTo>
                    <a:lnTo>
                      <a:pt x="357" y="62"/>
                    </a:lnTo>
                    <a:lnTo>
                      <a:pt x="357" y="62"/>
                    </a:lnTo>
                    <a:lnTo>
                      <a:pt x="357" y="62"/>
                    </a:lnTo>
                    <a:lnTo>
                      <a:pt x="357" y="71"/>
                    </a:lnTo>
                    <a:lnTo>
                      <a:pt x="357" y="71"/>
                    </a:lnTo>
                    <a:lnTo>
                      <a:pt x="357" y="71"/>
                    </a:lnTo>
                    <a:lnTo>
                      <a:pt x="357" y="71"/>
                    </a:lnTo>
                    <a:lnTo>
                      <a:pt x="357" y="71"/>
                    </a:lnTo>
                    <a:lnTo>
                      <a:pt x="357" y="80"/>
                    </a:lnTo>
                    <a:lnTo>
                      <a:pt x="366" y="80"/>
                    </a:lnTo>
                    <a:lnTo>
                      <a:pt x="366" y="80"/>
                    </a:lnTo>
                    <a:lnTo>
                      <a:pt x="366" y="80"/>
                    </a:lnTo>
                    <a:lnTo>
                      <a:pt x="366" y="80"/>
                    </a:lnTo>
                    <a:lnTo>
                      <a:pt x="366" y="80"/>
                    </a:lnTo>
                    <a:lnTo>
                      <a:pt x="375" y="80"/>
                    </a:lnTo>
                    <a:lnTo>
                      <a:pt x="375" y="80"/>
                    </a:lnTo>
                    <a:lnTo>
                      <a:pt x="375" y="80"/>
                    </a:lnTo>
                    <a:lnTo>
                      <a:pt x="375" y="80"/>
                    </a:lnTo>
                    <a:lnTo>
                      <a:pt x="384" y="80"/>
                    </a:lnTo>
                    <a:lnTo>
                      <a:pt x="384" y="80"/>
                    </a:lnTo>
                    <a:lnTo>
                      <a:pt x="384" y="80"/>
                    </a:lnTo>
                    <a:lnTo>
                      <a:pt x="393" y="80"/>
                    </a:lnTo>
                    <a:lnTo>
                      <a:pt x="393" y="80"/>
                    </a:lnTo>
                    <a:lnTo>
                      <a:pt x="393" y="80"/>
                    </a:lnTo>
                    <a:lnTo>
                      <a:pt x="393" y="80"/>
                    </a:lnTo>
                    <a:lnTo>
                      <a:pt x="393" y="80"/>
                    </a:lnTo>
                    <a:lnTo>
                      <a:pt x="393" y="80"/>
                    </a:lnTo>
                    <a:lnTo>
                      <a:pt x="402" y="80"/>
                    </a:lnTo>
                    <a:lnTo>
                      <a:pt x="402" y="80"/>
                    </a:lnTo>
                    <a:lnTo>
                      <a:pt x="402" y="71"/>
                    </a:lnTo>
                    <a:lnTo>
                      <a:pt x="402" y="71"/>
                    </a:lnTo>
                    <a:lnTo>
                      <a:pt x="402" y="71"/>
                    </a:lnTo>
                    <a:lnTo>
                      <a:pt x="402" y="71"/>
                    </a:lnTo>
                    <a:lnTo>
                      <a:pt x="411" y="71"/>
                    </a:lnTo>
                    <a:lnTo>
                      <a:pt x="411" y="71"/>
                    </a:lnTo>
                    <a:lnTo>
                      <a:pt x="411" y="71"/>
                    </a:lnTo>
                    <a:lnTo>
                      <a:pt x="411" y="71"/>
                    </a:lnTo>
                    <a:lnTo>
                      <a:pt x="411" y="71"/>
                    </a:lnTo>
                    <a:lnTo>
                      <a:pt x="420" y="71"/>
                    </a:lnTo>
                    <a:lnTo>
                      <a:pt x="420" y="71"/>
                    </a:lnTo>
                    <a:lnTo>
                      <a:pt x="420" y="71"/>
                    </a:lnTo>
                    <a:lnTo>
                      <a:pt x="429" y="71"/>
                    </a:lnTo>
                    <a:lnTo>
                      <a:pt x="429" y="71"/>
                    </a:lnTo>
                    <a:lnTo>
                      <a:pt x="429" y="71"/>
                    </a:lnTo>
                    <a:lnTo>
                      <a:pt x="438" y="71"/>
                    </a:lnTo>
                    <a:lnTo>
                      <a:pt x="438" y="71"/>
                    </a:lnTo>
                    <a:lnTo>
                      <a:pt x="438" y="71"/>
                    </a:lnTo>
                    <a:lnTo>
                      <a:pt x="438" y="62"/>
                    </a:lnTo>
                    <a:lnTo>
                      <a:pt x="438" y="62"/>
                    </a:lnTo>
                    <a:lnTo>
                      <a:pt x="446" y="62"/>
                    </a:lnTo>
                    <a:lnTo>
                      <a:pt x="446" y="62"/>
                    </a:lnTo>
                    <a:lnTo>
                      <a:pt x="446" y="62"/>
                    </a:lnTo>
                    <a:lnTo>
                      <a:pt x="446" y="62"/>
                    </a:lnTo>
                    <a:lnTo>
                      <a:pt x="446" y="62"/>
                    </a:lnTo>
                    <a:lnTo>
                      <a:pt x="446" y="62"/>
                    </a:lnTo>
                    <a:lnTo>
                      <a:pt x="455" y="62"/>
                    </a:lnTo>
                    <a:lnTo>
                      <a:pt x="455" y="62"/>
                    </a:lnTo>
                    <a:lnTo>
                      <a:pt x="455" y="62"/>
                    </a:lnTo>
                    <a:lnTo>
                      <a:pt x="455" y="62"/>
                    </a:lnTo>
                    <a:lnTo>
                      <a:pt x="464" y="62"/>
                    </a:lnTo>
                    <a:lnTo>
                      <a:pt x="464" y="62"/>
                    </a:lnTo>
                    <a:lnTo>
                      <a:pt x="464" y="62"/>
                    </a:lnTo>
                    <a:lnTo>
                      <a:pt x="464" y="62"/>
                    </a:lnTo>
                    <a:lnTo>
                      <a:pt x="464" y="62"/>
                    </a:lnTo>
                    <a:lnTo>
                      <a:pt x="473" y="62"/>
                    </a:lnTo>
                    <a:lnTo>
                      <a:pt x="473" y="62"/>
                    </a:lnTo>
                    <a:lnTo>
                      <a:pt x="473" y="62"/>
                    </a:lnTo>
                    <a:lnTo>
                      <a:pt x="473" y="62"/>
                    </a:lnTo>
                    <a:lnTo>
                      <a:pt x="482" y="62"/>
                    </a:lnTo>
                    <a:lnTo>
                      <a:pt x="482" y="62"/>
                    </a:lnTo>
                    <a:lnTo>
                      <a:pt x="482" y="62"/>
                    </a:lnTo>
                    <a:lnTo>
                      <a:pt x="482" y="62"/>
                    </a:lnTo>
                    <a:lnTo>
                      <a:pt x="491" y="62"/>
                    </a:lnTo>
                    <a:lnTo>
                      <a:pt x="491" y="71"/>
                    </a:lnTo>
                    <a:lnTo>
                      <a:pt x="491" y="71"/>
                    </a:lnTo>
                    <a:lnTo>
                      <a:pt x="491" y="71"/>
                    </a:lnTo>
                    <a:lnTo>
                      <a:pt x="500" y="71"/>
                    </a:lnTo>
                    <a:lnTo>
                      <a:pt x="500" y="71"/>
                    </a:lnTo>
                    <a:lnTo>
                      <a:pt x="500" y="71"/>
                    </a:lnTo>
                    <a:lnTo>
                      <a:pt x="500" y="71"/>
                    </a:lnTo>
                    <a:lnTo>
                      <a:pt x="500" y="71"/>
                    </a:lnTo>
                    <a:lnTo>
                      <a:pt x="500" y="71"/>
                    </a:lnTo>
                    <a:lnTo>
                      <a:pt x="509" y="80"/>
                    </a:lnTo>
                    <a:lnTo>
                      <a:pt x="509" y="80"/>
                    </a:lnTo>
                    <a:lnTo>
                      <a:pt x="509" y="80"/>
                    </a:lnTo>
                    <a:lnTo>
                      <a:pt x="509" y="80"/>
                    </a:lnTo>
                    <a:lnTo>
                      <a:pt x="509" y="80"/>
                    </a:lnTo>
                    <a:lnTo>
                      <a:pt x="509" y="80"/>
                    </a:lnTo>
                    <a:lnTo>
                      <a:pt x="518" y="80"/>
                    </a:lnTo>
                    <a:lnTo>
                      <a:pt x="518" y="80"/>
                    </a:lnTo>
                    <a:lnTo>
                      <a:pt x="518" y="80"/>
                    </a:lnTo>
                    <a:lnTo>
                      <a:pt x="518" y="80"/>
                    </a:lnTo>
                    <a:lnTo>
                      <a:pt x="518" y="80"/>
                    </a:lnTo>
                    <a:lnTo>
                      <a:pt x="518" y="80"/>
                    </a:lnTo>
                    <a:lnTo>
                      <a:pt x="518" y="80"/>
                    </a:lnTo>
                    <a:lnTo>
                      <a:pt x="527" y="80"/>
                    </a:lnTo>
                    <a:lnTo>
                      <a:pt x="527" y="80"/>
                    </a:lnTo>
                    <a:lnTo>
                      <a:pt x="527" y="80"/>
                    </a:lnTo>
                    <a:lnTo>
                      <a:pt x="527" y="80"/>
                    </a:lnTo>
                    <a:lnTo>
                      <a:pt x="527" y="80"/>
                    </a:lnTo>
                    <a:lnTo>
                      <a:pt x="527" y="80"/>
                    </a:lnTo>
                    <a:lnTo>
                      <a:pt x="536" y="80"/>
                    </a:lnTo>
                    <a:lnTo>
                      <a:pt x="536" y="89"/>
                    </a:lnTo>
                    <a:lnTo>
                      <a:pt x="536" y="89"/>
                    </a:lnTo>
                    <a:lnTo>
                      <a:pt x="536" y="89"/>
                    </a:lnTo>
                    <a:lnTo>
                      <a:pt x="536" y="98"/>
                    </a:lnTo>
                    <a:lnTo>
                      <a:pt x="536" y="98"/>
                    </a:lnTo>
                    <a:lnTo>
                      <a:pt x="536" y="107"/>
                    </a:lnTo>
                    <a:lnTo>
                      <a:pt x="536" y="107"/>
                    </a:lnTo>
                    <a:lnTo>
                      <a:pt x="536" y="107"/>
                    </a:lnTo>
                    <a:lnTo>
                      <a:pt x="536" y="116"/>
                    </a:lnTo>
                    <a:lnTo>
                      <a:pt x="536" y="116"/>
                    </a:lnTo>
                    <a:lnTo>
                      <a:pt x="536" y="116"/>
                    </a:lnTo>
                    <a:lnTo>
                      <a:pt x="536" y="125"/>
                    </a:lnTo>
                    <a:lnTo>
                      <a:pt x="536" y="125"/>
                    </a:lnTo>
                    <a:lnTo>
                      <a:pt x="536" y="125"/>
                    </a:lnTo>
                    <a:lnTo>
                      <a:pt x="536" y="125"/>
                    </a:lnTo>
                    <a:lnTo>
                      <a:pt x="545" y="134"/>
                    </a:lnTo>
                    <a:lnTo>
                      <a:pt x="545" y="134"/>
                    </a:lnTo>
                    <a:lnTo>
                      <a:pt x="545" y="134"/>
                    </a:lnTo>
                    <a:lnTo>
                      <a:pt x="545" y="143"/>
                    </a:lnTo>
                    <a:lnTo>
                      <a:pt x="545" y="143"/>
                    </a:lnTo>
                    <a:lnTo>
                      <a:pt x="545" y="143"/>
                    </a:lnTo>
                    <a:lnTo>
                      <a:pt x="545" y="152"/>
                    </a:lnTo>
                    <a:lnTo>
                      <a:pt x="545" y="152"/>
                    </a:lnTo>
                    <a:lnTo>
                      <a:pt x="545" y="152"/>
                    </a:lnTo>
                    <a:lnTo>
                      <a:pt x="554" y="152"/>
                    </a:lnTo>
                    <a:lnTo>
                      <a:pt x="554" y="152"/>
                    </a:lnTo>
                    <a:lnTo>
                      <a:pt x="554" y="160"/>
                    </a:lnTo>
                    <a:lnTo>
                      <a:pt x="554" y="160"/>
                    </a:lnTo>
                    <a:lnTo>
                      <a:pt x="563" y="160"/>
                    </a:lnTo>
                    <a:lnTo>
                      <a:pt x="563" y="160"/>
                    </a:lnTo>
                    <a:lnTo>
                      <a:pt x="563" y="160"/>
                    </a:lnTo>
                    <a:lnTo>
                      <a:pt x="572" y="160"/>
                    </a:lnTo>
                    <a:lnTo>
                      <a:pt x="572" y="160"/>
                    </a:lnTo>
                    <a:lnTo>
                      <a:pt x="580" y="160"/>
                    </a:lnTo>
                    <a:lnTo>
                      <a:pt x="580" y="160"/>
                    </a:lnTo>
                    <a:lnTo>
                      <a:pt x="580" y="160"/>
                    </a:lnTo>
                    <a:lnTo>
                      <a:pt x="589" y="160"/>
                    </a:lnTo>
                    <a:lnTo>
                      <a:pt x="589" y="160"/>
                    </a:lnTo>
                    <a:lnTo>
                      <a:pt x="598" y="160"/>
                    </a:lnTo>
                    <a:lnTo>
                      <a:pt x="598" y="160"/>
                    </a:lnTo>
                    <a:lnTo>
                      <a:pt x="607" y="160"/>
                    </a:lnTo>
                    <a:lnTo>
                      <a:pt x="607" y="160"/>
                    </a:lnTo>
                    <a:lnTo>
                      <a:pt x="607" y="160"/>
                    </a:lnTo>
                    <a:lnTo>
                      <a:pt x="607" y="160"/>
                    </a:lnTo>
                    <a:lnTo>
                      <a:pt x="616" y="160"/>
                    </a:lnTo>
                    <a:lnTo>
                      <a:pt x="616" y="160"/>
                    </a:lnTo>
                    <a:lnTo>
                      <a:pt x="616" y="160"/>
                    </a:lnTo>
                    <a:lnTo>
                      <a:pt x="625" y="152"/>
                    </a:lnTo>
                    <a:lnTo>
                      <a:pt x="625" y="152"/>
                    </a:lnTo>
                    <a:lnTo>
                      <a:pt x="625" y="152"/>
                    </a:lnTo>
                    <a:lnTo>
                      <a:pt x="634" y="152"/>
                    </a:lnTo>
                    <a:lnTo>
                      <a:pt x="634" y="152"/>
                    </a:lnTo>
                    <a:lnTo>
                      <a:pt x="634" y="152"/>
                    </a:lnTo>
                    <a:lnTo>
                      <a:pt x="643" y="152"/>
                    </a:lnTo>
                    <a:lnTo>
                      <a:pt x="643" y="152"/>
                    </a:lnTo>
                    <a:lnTo>
                      <a:pt x="652" y="152"/>
                    </a:lnTo>
                    <a:lnTo>
                      <a:pt x="652" y="143"/>
                    </a:lnTo>
                    <a:lnTo>
                      <a:pt x="652" y="143"/>
                    </a:lnTo>
                    <a:lnTo>
                      <a:pt x="652" y="143"/>
                    </a:lnTo>
                    <a:lnTo>
                      <a:pt x="652" y="143"/>
                    </a:lnTo>
                    <a:lnTo>
                      <a:pt x="652" y="143"/>
                    </a:lnTo>
                    <a:lnTo>
                      <a:pt x="652" y="143"/>
                    </a:lnTo>
                    <a:lnTo>
                      <a:pt x="652" y="134"/>
                    </a:lnTo>
                    <a:lnTo>
                      <a:pt x="661" y="134"/>
                    </a:lnTo>
                    <a:lnTo>
                      <a:pt x="661" y="143"/>
                    </a:lnTo>
                    <a:lnTo>
                      <a:pt x="661" y="143"/>
                    </a:lnTo>
                    <a:lnTo>
                      <a:pt x="661" y="143"/>
                    </a:lnTo>
                    <a:lnTo>
                      <a:pt x="661" y="143"/>
                    </a:lnTo>
                    <a:lnTo>
                      <a:pt x="661" y="152"/>
                    </a:lnTo>
                    <a:lnTo>
                      <a:pt x="661" y="152"/>
                    </a:lnTo>
                    <a:lnTo>
                      <a:pt x="661" y="152"/>
                    </a:lnTo>
                    <a:lnTo>
                      <a:pt x="661" y="152"/>
                    </a:lnTo>
                    <a:lnTo>
                      <a:pt x="661" y="160"/>
                    </a:lnTo>
                    <a:lnTo>
                      <a:pt x="670" y="160"/>
                    </a:lnTo>
                    <a:lnTo>
                      <a:pt x="670" y="160"/>
                    </a:lnTo>
                    <a:lnTo>
                      <a:pt x="670" y="169"/>
                    </a:lnTo>
                    <a:lnTo>
                      <a:pt x="670" y="169"/>
                    </a:lnTo>
                    <a:lnTo>
                      <a:pt x="670" y="178"/>
                    </a:lnTo>
                    <a:lnTo>
                      <a:pt x="670" y="178"/>
                    </a:lnTo>
                    <a:lnTo>
                      <a:pt x="670" y="178"/>
                    </a:lnTo>
                    <a:lnTo>
                      <a:pt x="670" y="178"/>
                    </a:lnTo>
                    <a:lnTo>
                      <a:pt x="670" y="187"/>
                    </a:lnTo>
                    <a:lnTo>
                      <a:pt x="670" y="187"/>
                    </a:lnTo>
                    <a:lnTo>
                      <a:pt x="670" y="187"/>
                    </a:lnTo>
                    <a:lnTo>
                      <a:pt x="670" y="187"/>
                    </a:lnTo>
                    <a:lnTo>
                      <a:pt x="670" y="187"/>
                    </a:lnTo>
                    <a:lnTo>
                      <a:pt x="670" y="196"/>
                    </a:lnTo>
                    <a:lnTo>
                      <a:pt x="670" y="196"/>
                    </a:lnTo>
                    <a:lnTo>
                      <a:pt x="670" y="196"/>
                    </a:lnTo>
                    <a:lnTo>
                      <a:pt x="670" y="196"/>
                    </a:lnTo>
                    <a:lnTo>
                      <a:pt x="670" y="196"/>
                    </a:lnTo>
                    <a:lnTo>
                      <a:pt x="670" y="196"/>
                    </a:lnTo>
                    <a:lnTo>
                      <a:pt x="661" y="196"/>
                    </a:lnTo>
                    <a:lnTo>
                      <a:pt x="661" y="196"/>
                    </a:lnTo>
                    <a:lnTo>
                      <a:pt x="661" y="196"/>
                    </a:lnTo>
                    <a:lnTo>
                      <a:pt x="661" y="205"/>
                    </a:lnTo>
                    <a:lnTo>
                      <a:pt x="661" y="205"/>
                    </a:lnTo>
                    <a:lnTo>
                      <a:pt x="661" y="205"/>
                    </a:lnTo>
                    <a:lnTo>
                      <a:pt x="652" y="205"/>
                    </a:lnTo>
                    <a:lnTo>
                      <a:pt x="652" y="205"/>
                    </a:lnTo>
                    <a:lnTo>
                      <a:pt x="652" y="205"/>
                    </a:lnTo>
                    <a:lnTo>
                      <a:pt x="652" y="205"/>
                    </a:lnTo>
                    <a:lnTo>
                      <a:pt x="643" y="205"/>
                    </a:lnTo>
                    <a:lnTo>
                      <a:pt x="643" y="205"/>
                    </a:lnTo>
                    <a:lnTo>
                      <a:pt x="643" y="205"/>
                    </a:lnTo>
                    <a:lnTo>
                      <a:pt x="643" y="205"/>
                    </a:lnTo>
                    <a:lnTo>
                      <a:pt x="643" y="205"/>
                    </a:lnTo>
                    <a:lnTo>
                      <a:pt x="643" y="214"/>
                    </a:lnTo>
                    <a:lnTo>
                      <a:pt x="643" y="214"/>
                    </a:lnTo>
                    <a:lnTo>
                      <a:pt x="634" y="214"/>
                    </a:lnTo>
                    <a:lnTo>
                      <a:pt x="634" y="214"/>
                    </a:lnTo>
                    <a:lnTo>
                      <a:pt x="634" y="214"/>
                    </a:lnTo>
                    <a:lnTo>
                      <a:pt x="634" y="223"/>
                    </a:lnTo>
                    <a:lnTo>
                      <a:pt x="634" y="223"/>
                    </a:lnTo>
                    <a:lnTo>
                      <a:pt x="634" y="223"/>
                    </a:lnTo>
                    <a:lnTo>
                      <a:pt x="634" y="232"/>
                    </a:lnTo>
                    <a:lnTo>
                      <a:pt x="634" y="232"/>
                    </a:lnTo>
                    <a:lnTo>
                      <a:pt x="634" y="241"/>
                    </a:lnTo>
                    <a:lnTo>
                      <a:pt x="634" y="241"/>
                    </a:lnTo>
                    <a:lnTo>
                      <a:pt x="634" y="250"/>
                    </a:lnTo>
                    <a:lnTo>
                      <a:pt x="634" y="250"/>
                    </a:lnTo>
                    <a:lnTo>
                      <a:pt x="634" y="259"/>
                    </a:lnTo>
                    <a:lnTo>
                      <a:pt x="634" y="259"/>
                    </a:lnTo>
                    <a:lnTo>
                      <a:pt x="634" y="268"/>
                    </a:lnTo>
                    <a:lnTo>
                      <a:pt x="634" y="268"/>
                    </a:lnTo>
                    <a:lnTo>
                      <a:pt x="634" y="277"/>
                    </a:lnTo>
                    <a:lnTo>
                      <a:pt x="634" y="277"/>
                    </a:lnTo>
                    <a:lnTo>
                      <a:pt x="634" y="285"/>
                    </a:lnTo>
                    <a:lnTo>
                      <a:pt x="634" y="285"/>
                    </a:lnTo>
                    <a:lnTo>
                      <a:pt x="634" y="294"/>
                    </a:lnTo>
                    <a:lnTo>
                      <a:pt x="634" y="294"/>
                    </a:lnTo>
                    <a:lnTo>
                      <a:pt x="634" y="303"/>
                    </a:lnTo>
                    <a:lnTo>
                      <a:pt x="634" y="303"/>
                    </a:lnTo>
                    <a:lnTo>
                      <a:pt x="634" y="303"/>
                    </a:lnTo>
                    <a:lnTo>
                      <a:pt x="634" y="312"/>
                    </a:lnTo>
                    <a:lnTo>
                      <a:pt x="634" y="312"/>
                    </a:lnTo>
                    <a:lnTo>
                      <a:pt x="634" y="312"/>
                    </a:lnTo>
                    <a:lnTo>
                      <a:pt x="634" y="321"/>
                    </a:lnTo>
                    <a:lnTo>
                      <a:pt x="634" y="321"/>
                    </a:lnTo>
                    <a:lnTo>
                      <a:pt x="625" y="321"/>
                    </a:lnTo>
                    <a:lnTo>
                      <a:pt x="625" y="321"/>
                    </a:lnTo>
                    <a:lnTo>
                      <a:pt x="625" y="321"/>
                    </a:lnTo>
                    <a:lnTo>
                      <a:pt x="625" y="330"/>
                    </a:lnTo>
                    <a:lnTo>
                      <a:pt x="625" y="330"/>
                    </a:lnTo>
                    <a:lnTo>
                      <a:pt x="625" y="330"/>
                    </a:lnTo>
                    <a:lnTo>
                      <a:pt x="625" y="330"/>
                    </a:lnTo>
                    <a:lnTo>
                      <a:pt x="625" y="330"/>
                    </a:lnTo>
                    <a:lnTo>
                      <a:pt x="625" y="339"/>
                    </a:lnTo>
                    <a:lnTo>
                      <a:pt x="625" y="339"/>
                    </a:lnTo>
                    <a:lnTo>
                      <a:pt x="625" y="339"/>
                    </a:lnTo>
                    <a:lnTo>
                      <a:pt x="625" y="339"/>
                    </a:lnTo>
                    <a:lnTo>
                      <a:pt x="625" y="339"/>
                    </a:lnTo>
                    <a:lnTo>
                      <a:pt x="616" y="339"/>
                    </a:lnTo>
                    <a:lnTo>
                      <a:pt x="616" y="339"/>
                    </a:lnTo>
                    <a:lnTo>
                      <a:pt x="616" y="339"/>
                    </a:lnTo>
                    <a:lnTo>
                      <a:pt x="616" y="339"/>
                    </a:lnTo>
                    <a:lnTo>
                      <a:pt x="616" y="339"/>
                    </a:lnTo>
                    <a:lnTo>
                      <a:pt x="616" y="339"/>
                    </a:lnTo>
                    <a:lnTo>
                      <a:pt x="607" y="339"/>
                    </a:lnTo>
                    <a:lnTo>
                      <a:pt x="607" y="339"/>
                    </a:lnTo>
                    <a:lnTo>
                      <a:pt x="607" y="339"/>
                    </a:lnTo>
                    <a:lnTo>
                      <a:pt x="607" y="339"/>
                    </a:lnTo>
                    <a:lnTo>
                      <a:pt x="607" y="339"/>
                    </a:lnTo>
                    <a:lnTo>
                      <a:pt x="598" y="339"/>
                    </a:lnTo>
                    <a:lnTo>
                      <a:pt x="598" y="339"/>
                    </a:lnTo>
                    <a:lnTo>
                      <a:pt x="598" y="339"/>
                    </a:lnTo>
                    <a:lnTo>
                      <a:pt x="598" y="339"/>
                    </a:lnTo>
                    <a:lnTo>
                      <a:pt x="598" y="339"/>
                    </a:lnTo>
                    <a:lnTo>
                      <a:pt x="598" y="339"/>
                    </a:lnTo>
                    <a:lnTo>
                      <a:pt x="589" y="339"/>
                    </a:lnTo>
                    <a:lnTo>
                      <a:pt x="589" y="339"/>
                    </a:lnTo>
                    <a:lnTo>
                      <a:pt x="589" y="339"/>
                    </a:lnTo>
                    <a:lnTo>
                      <a:pt x="589" y="339"/>
                    </a:lnTo>
                    <a:lnTo>
                      <a:pt x="589" y="339"/>
                    </a:lnTo>
                    <a:lnTo>
                      <a:pt x="589" y="339"/>
                    </a:lnTo>
                    <a:lnTo>
                      <a:pt x="589" y="339"/>
                    </a:lnTo>
                    <a:lnTo>
                      <a:pt x="589" y="348"/>
                    </a:lnTo>
                    <a:lnTo>
                      <a:pt x="580" y="348"/>
                    </a:lnTo>
                    <a:lnTo>
                      <a:pt x="580" y="357"/>
                    </a:lnTo>
                    <a:lnTo>
                      <a:pt x="580" y="357"/>
                    </a:lnTo>
                    <a:lnTo>
                      <a:pt x="580" y="357"/>
                    </a:lnTo>
                    <a:lnTo>
                      <a:pt x="580" y="366"/>
                    </a:lnTo>
                    <a:lnTo>
                      <a:pt x="580" y="366"/>
                    </a:lnTo>
                    <a:lnTo>
                      <a:pt x="580" y="375"/>
                    </a:lnTo>
                    <a:lnTo>
                      <a:pt x="580" y="375"/>
                    </a:lnTo>
                    <a:lnTo>
                      <a:pt x="580" y="384"/>
                    </a:lnTo>
                    <a:lnTo>
                      <a:pt x="580" y="384"/>
                    </a:lnTo>
                    <a:lnTo>
                      <a:pt x="580" y="384"/>
                    </a:lnTo>
                    <a:lnTo>
                      <a:pt x="580" y="393"/>
                    </a:lnTo>
                    <a:lnTo>
                      <a:pt x="589" y="393"/>
                    </a:lnTo>
                    <a:lnTo>
                      <a:pt x="589" y="402"/>
                    </a:lnTo>
                    <a:lnTo>
                      <a:pt x="589" y="402"/>
                    </a:lnTo>
                    <a:lnTo>
                      <a:pt x="589" y="402"/>
                    </a:lnTo>
                    <a:lnTo>
                      <a:pt x="589" y="410"/>
                    </a:lnTo>
                    <a:lnTo>
                      <a:pt x="589" y="410"/>
                    </a:lnTo>
                    <a:lnTo>
                      <a:pt x="589" y="410"/>
                    </a:lnTo>
                    <a:lnTo>
                      <a:pt x="589" y="419"/>
                    </a:lnTo>
                    <a:lnTo>
                      <a:pt x="589" y="419"/>
                    </a:lnTo>
                    <a:lnTo>
                      <a:pt x="589" y="419"/>
                    </a:lnTo>
                    <a:lnTo>
                      <a:pt x="589" y="428"/>
                    </a:lnTo>
                    <a:lnTo>
                      <a:pt x="589" y="428"/>
                    </a:lnTo>
                    <a:lnTo>
                      <a:pt x="589" y="428"/>
                    </a:lnTo>
                    <a:lnTo>
                      <a:pt x="589" y="428"/>
                    </a:lnTo>
                    <a:lnTo>
                      <a:pt x="589" y="437"/>
                    </a:lnTo>
                    <a:lnTo>
                      <a:pt x="580" y="437"/>
                    </a:lnTo>
                    <a:lnTo>
                      <a:pt x="580" y="437"/>
                    </a:lnTo>
                    <a:lnTo>
                      <a:pt x="580" y="437"/>
                    </a:lnTo>
                    <a:lnTo>
                      <a:pt x="580" y="446"/>
                    </a:lnTo>
                    <a:lnTo>
                      <a:pt x="580" y="446"/>
                    </a:lnTo>
                    <a:lnTo>
                      <a:pt x="580" y="446"/>
                    </a:lnTo>
                    <a:lnTo>
                      <a:pt x="580" y="446"/>
                    </a:lnTo>
                    <a:lnTo>
                      <a:pt x="580" y="446"/>
                    </a:lnTo>
                    <a:lnTo>
                      <a:pt x="572" y="446"/>
                    </a:lnTo>
                    <a:lnTo>
                      <a:pt x="572" y="446"/>
                    </a:lnTo>
                    <a:lnTo>
                      <a:pt x="572" y="446"/>
                    </a:lnTo>
                    <a:lnTo>
                      <a:pt x="572" y="446"/>
                    </a:lnTo>
                    <a:lnTo>
                      <a:pt x="572" y="446"/>
                    </a:lnTo>
                    <a:lnTo>
                      <a:pt x="572" y="446"/>
                    </a:lnTo>
                    <a:lnTo>
                      <a:pt x="572" y="455"/>
                    </a:lnTo>
                    <a:lnTo>
                      <a:pt x="572" y="455"/>
                    </a:lnTo>
                    <a:lnTo>
                      <a:pt x="572" y="455"/>
                    </a:lnTo>
                    <a:lnTo>
                      <a:pt x="572" y="455"/>
                    </a:lnTo>
                    <a:lnTo>
                      <a:pt x="572" y="455"/>
                    </a:lnTo>
                    <a:lnTo>
                      <a:pt x="572" y="455"/>
                    </a:lnTo>
                    <a:lnTo>
                      <a:pt x="572" y="464"/>
                    </a:lnTo>
                    <a:lnTo>
                      <a:pt x="572" y="464"/>
                    </a:lnTo>
                    <a:lnTo>
                      <a:pt x="572" y="464"/>
                    </a:lnTo>
                    <a:lnTo>
                      <a:pt x="572" y="464"/>
                    </a:lnTo>
                    <a:lnTo>
                      <a:pt x="572" y="464"/>
                    </a:lnTo>
                    <a:lnTo>
                      <a:pt x="572" y="464"/>
                    </a:lnTo>
                    <a:lnTo>
                      <a:pt x="572" y="464"/>
                    </a:lnTo>
                    <a:lnTo>
                      <a:pt x="572" y="464"/>
                    </a:lnTo>
                    <a:lnTo>
                      <a:pt x="580" y="464"/>
                    </a:lnTo>
                    <a:lnTo>
                      <a:pt x="580" y="464"/>
                    </a:lnTo>
                    <a:lnTo>
                      <a:pt x="580" y="464"/>
                    </a:lnTo>
                    <a:lnTo>
                      <a:pt x="589" y="464"/>
                    </a:lnTo>
                    <a:lnTo>
                      <a:pt x="589" y="464"/>
                    </a:lnTo>
                    <a:lnTo>
                      <a:pt x="589" y="464"/>
                    </a:lnTo>
                    <a:lnTo>
                      <a:pt x="598" y="464"/>
                    </a:lnTo>
                    <a:lnTo>
                      <a:pt x="598" y="464"/>
                    </a:lnTo>
                    <a:lnTo>
                      <a:pt x="598" y="464"/>
                    </a:lnTo>
                    <a:lnTo>
                      <a:pt x="598" y="464"/>
                    </a:lnTo>
                    <a:lnTo>
                      <a:pt x="607" y="464"/>
                    </a:lnTo>
                    <a:lnTo>
                      <a:pt x="607" y="464"/>
                    </a:lnTo>
                    <a:lnTo>
                      <a:pt x="607" y="464"/>
                    </a:lnTo>
                    <a:lnTo>
                      <a:pt x="607" y="464"/>
                    </a:lnTo>
                    <a:lnTo>
                      <a:pt x="607" y="464"/>
                    </a:lnTo>
                    <a:lnTo>
                      <a:pt x="616" y="464"/>
                    </a:lnTo>
                    <a:lnTo>
                      <a:pt x="616" y="464"/>
                    </a:lnTo>
                    <a:lnTo>
                      <a:pt x="616" y="464"/>
                    </a:lnTo>
                    <a:lnTo>
                      <a:pt x="616" y="464"/>
                    </a:lnTo>
                    <a:lnTo>
                      <a:pt x="625" y="464"/>
                    </a:lnTo>
                    <a:lnTo>
                      <a:pt x="625" y="464"/>
                    </a:lnTo>
                    <a:lnTo>
                      <a:pt x="625" y="464"/>
                    </a:lnTo>
                    <a:lnTo>
                      <a:pt x="634" y="464"/>
                    </a:lnTo>
                    <a:lnTo>
                      <a:pt x="634" y="464"/>
                    </a:lnTo>
                    <a:lnTo>
                      <a:pt x="634" y="473"/>
                    </a:lnTo>
                    <a:lnTo>
                      <a:pt x="634" y="473"/>
                    </a:lnTo>
                    <a:lnTo>
                      <a:pt x="634" y="473"/>
                    </a:lnTo>
                    <a:lnTo>
                      <a:pt x="634" y="473"/>
                    </a:lnTo>
                    <a:lnTo>
                      <a:pt x="634" y="473"/>
                    </a:lnTo>
                    <a:lnTo>
                      <a:pt x="634" y="482"/>
                    </a:lnTo>
                    <a:lnTo>
                      <a:pt x="634" y="482"/>
                    </a:lnTo>
                    <a:lnTo>
                      <a:pt x="634" y="482"/>
                    </a:lnTo>
                    <a:lnTo>
                      <a:pt x="634" y="491"/>
                    </a:lnTo>
                    <a:lnTo>
                      <a:pt x="634" y="491"/>
                    </a:lnTo>
                    <a:lnTo>
                      <a:pt x="634" y="491"/>
                    </a:lnTo>
                    <a:lnTo>
                      <a:pt x="634" y="500"/>
                    </a:lnTo>
                    <a:lnTo>
                      <a:pt x="634" y="500"/>
                    </a:lnTo>
                    <a:lnTo>
                      <a:pt x="634" y="509"/>
                    </a:lnTo>
                    <a:lnTo>
                      <a:pt x="634" y="509"/>
                    </a:lnTo>
                    <a:lnTo>
                      <a:pt x="634" y="518"/>
                    </a:lnTo>
                    <a:lnTo>
                      <a:pt x="634" y="518"/>
                    </a:lnTo>
                    <a:lnTo>
                      <a:pt x="634" y="518"/>
                    </a:lnTo>
                    <a:lnTo>
                      <a:pt x="634" y="527"/>
                    </a:lnTo>
                    <a:lnTo>
                      <a:pt x="634" y="527"/>
                    </a:lnTo>
                    <a:lnTo>
                      <a:pt x="634" y="527"/>
                    </a:lnTo>
                    <a:lnTo>
                      <a:pt x="625" y="527"/>
                    </a:lnTo>
                    <a:lnTo>
                      <a:pt x="625" y="535"/>
                    </a:lnTo>
                    <a:lnTo>
                      <a:pt x="625" y="535"/>
                    </a:lnTo>
                    <a:lnTo>
                      <a:pt x="625" y="535"/>
                    </a:lnTo>
                    <a:lnTo>
                      <a:pt x="625" y="535"/>
                    </a:lnTo>
                    <a:lnTo>
                      <a:pt x="625" y="544"/>
                    </a:lnTo>
                    <a:lnTo>
                      <a:pt x="625" y="544"/>
                    </a:lnTo>
                    <a:lnTo>
                      <a:pt x="616" y="544"/>
                    </a:lnTo>
                    <a:lnTo>
                      <a:pt x="616" y="544"/>
                    </a:lnTo>
                    <a:lnTo>
                      <a:pt x="616" y="553"/>
                    </a:lnTo>
                    <a:lnTo>
                      <a:pt x="616" y="553"/>
                    </a:lnTo>
                    <a:lnTo>
                      <a:pt x="616" y="553"/>
                    </a:lnTo>
                    <a:lnTo>
                      <a:pt x="616" y="553"/>
                    </a:lnTo>
                    <a:lnTo>
                      <a:pt x="607" y="562"/>
                    </a:lnTo>
                    <a:lnTo>
                      <a:pt x="607" y="562"/>
                    </a:lnTo>
                    <a:lnTo>
                      <a:pt x="607" y="562"/>
                    </a:lnTo>
                    <a:lnTo>
                      <a:pt x="607" y="562"/>
                    </a:lnTo>
                    <a:lnTo>
                      <a:pt x="607" y="562"/>
                    </a:lnTo>
                    <a:lnTo>
                      <a:pt x="607" y="571"/>
                    </a:lnTo>
                    <a:lnTo>
                      <a:pt x="607" y="571"/>
                    </a:lnTo>
                    <a:lnTo>
                      <a:pt x="607" y="571"/>
                    </a:lnTo>
                    <a:lnTo>
                      <a:pt x="607" y="571"/>
                    </a:lnTo>
                    <a:lnTo>
                      <a:pt x="607" y="580"/>
                    </a:lnTo>
                    <a:lnTo>
                      <a:pt x="607" y="580"/>
                    </a:lnTo>
                    <a:lnTo>
                      <a:pt x="607" y="580"/>
                    </a:lnTo>
                    <a:lnTo>
                      <a:pt x="607" y="589"/>
                    </a:lnTo>
                    <a:lnTo>
                      <a:pt x="607" y="589"/>
                    </a:lnTo>
                    <a:lnTo>
                      <a:pt x="607" y="589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598" y="598"/>
                    </a:lnTo>
                    <a:lnTo>
                      <a:pt x="598" y="607"/>
                    </a:lnTo>
                    <a:lnTo>
                      <a:pt x="598" y="607"/>
                    </a:lnTo>
                    <a:lnTo>
                      <a:pt x="598" y="616"/>
                    </a:lnTo>
                    <a:lnTo>
                      <a:pt x="598" y="616"/>
                    </a:lnTo>
                    <a:lnTo>
                      <a:pt x="598" y="616"/>
                    </a:lnTo>
                    <a:lnTo>
                      <a:pt x="598" y="625"/>
                    </a:lnTo>
                    <a:lnTo>
                      <a:pt x="598" y="625"/>
                    </a:lnTo>
                    <a:lnTo>
                      <a:pt x="598" y="625"/>
                    </a:lnTo>
                    <a:lnTo>
                      <a:pt x="598" y="634"/>
                    </a:lnTo>
                    <a:lnTo>
                      <a:pt x="598" y="634"/>
                    </a:lnTo>
                    <a:lnTo>
                      <a:pt x="598" y="634"/>
                    </a:lnTo>
                    <a:lnTo>
                      <a:pt x="598" y="643"/>
                    </a:lnTo>
                    <a:lnTo>
                      <a:pt x="598" y="643"/>
                    </a:lnTo>
                    <a:lnTo>
                      <a:pt x="598" y="652"/>
                    </a:lnTo>
                    <a:lnTo>
                      <a:pt x="598" y="652"/>
                    </a:lnTo>
                    <a:lnTo>
                      <a:pt x="607" y="652"/>
                    </a:lnTo>
                    <a:lnTo>
                      <a:pt x="607" y="661"/>
                    </a:lnTo>
                    <a:lnTo>
                      <a:pt x="607" y="661"/>
                    </a:lnTo>
                    <a:lnTo>
                      <a:pt x="607" y="669"/>
                    </a:lnTo>
                    <a:lnTo>
                      <a:pt x="607" y="669"/>
                    </a:lnTo>
                    <a:lnTo>
                      <a:pt x="607" y="678"/>
                    </a:lnTo>
                    <a:lnTo>
                      <a:pt x="607" y="678"/>
                    </a:lnTo>
                    <a:lnTo>
                      <a:pt x="607" y="678"/>
                    </a:lnTo>
                    <a:lnTo>
                      <a:pt x="616" y="687"/>
                    </a:lnTo>
                    <a:lnTo>
                      <a:pt x="616" y="687"/>
                    </a:lnTo>
                    <a:lnTo>
                      <a:pt x="616" y="687"/>
                    </a:lnTo>
                    <a:lnTo>
                      <a:pt x="616" y="696"/>
                    </a:lnTo>
                    <a:lnTo>
                      <a:pt x="616" y="696"/>
                    </a:lnTo>
                    <a:lnTo>
                      <a:pt x="616" y="696"/>
                    </a:lnTo>
                    <a:lnTo>
                      <a:pt x="625" y="696"/>
                    </a:lnTo>
                    <a:lnTo>
                      <a:pt x="625" y="705"/>
                    </a:lnTo>
                    <a:lnTo>
                      <a:pt x="625" y="705"/>
                    </a:lnTo>
                    <a:lnTo>
                      <a:pt x="625" y="705"/>
                    </a:lnTo>
                    <a:lnTo>
                      <a:pt x="625" y="705"/>
                    </a:lnTo>
                    <a:lnTo>
                      <a:pt x="625" y="705"/>
                    </a:lnTo>
                    <a:lnTo>
                      <a:pt x="625" y="705"/>
                    </a:lnTo>
                    <a:lnTo>
                      <a:pt x="625" y="714"/>
                    </a:lnTo>
                    <a:lnTo>
                      <a:pt x="625" y="714"/>
                    </a:lnTo>
                    <a:lnTo>
                      <a:pt x="625" y="714"/>
                    </a:lnTo>
                    <a:lnTo>
                      <a:pt x="625" y="714"/>
                    </a:lnTo>
                    <a:lnTo>
                      <a:pt x="625" y="714"/>
                    </a:lnTo>
                    <a:lnTo>
                      <a:pt x="625" y="714"/>
                    </a:lnTo>
                    <a:lnTo>
                      <a:pt x="625" y="723"/>
                    </a:lnTo>
                    <a:lnTo>
                      <a:pt x="625" y="723"/>
                    </a:lnTo>
                    <a:lnTo>
                      <a:pt x="625" y="723"/>
                    </a:lnTo>
                    <a:lnTo>
                      <a:pt x="625" y="723"/>
                    </a:lnTo>
                    <a:lnTo>
                      <a:pt x="625" y="723"/>
                    </a:lnTo>
                    <a:lnTo>
                      <a:pt x="625" y="732"/>
                    </a:lnTo>
                    <a:lnTo>
                      <a:pt x="616" y="732"/>
                    </a:lnTo>
                    <a:lnTo>
                      <a:pt x="616" y="732"/>
                    </a:lnTo>
                    <a:lnTo>
                      <a:pt x="616" y="732"/>
                    </a:lnTo>
                    <a:lnTo>
                      <a:pt x="616" y="732"/>
                    </a:lnTo>
                    <a:lnTo>
                      <a:pt x="616" y="741"/>
                    </a:lnTo>
                    <a:lnTo>
                      <a:pt x="616" y="741"/>
                    </a:lnTo>
                    <a:lnTo>
                      <a:pt x="616" y="741"/>
                    </a:lnTo>
                    <a:lnTo>
                      <a:pt x="616" y="741"/>
                    </a:lnTo>
                    <a:lnTo>
                      <a:pt x="616" y="741"/>
                    </a:lnTo>
                    <a:lnTo>
                      <a:pt x="607" y="741"/>
                    </a:lnTo>
                    <a:lnTo>
                      <a:pt x="607" y="750"/>
                    </a:lnTo>
                    <a:lnTo>
                      <a:pt x="607" y="750"/>
                    </a:lnTo>
                    <a:lnTo>
                      <a:pt x="607" y="750"/>
                    </a:lnTo>
                    <a:lnTo>
                      <a:pt x="607" y="750"/>
                    </a:lnTo>
                    <a:lnTo>
                      <a:pt x="607" y="750"/>
                    </a:lnTo>
                    <a:lnTo>
                      <a:pt x="607" y="750"/>
                    </a:lnTo>
                    <a:lnTo>
                      <a:pt x="607" y="759"/>
                    </a:lnTo>
                    <a:lnTo>
                      <a:pt x="607" y="759"/>
                    </a:lnTo>
                    <a:lnTo>
                      <a:pt x="607" y="759"/>
                    </a:lnTo>
                    <a:lnTo>
                      <a:pt x="607" y="759"/>
                    </a:lnTo>
                    <a:lnTo>
                      <a:pt x="607" y="768"/>
                    </a:lnTo>
                    <a:lnTo>
                      <a:pt x="607" y="768"/>
                    </a:lnTo>
                    <a:lnTo>
                      <a:pt x="598" y="768"/>
                    </a:lnTo>
                    <a:lnTo>
                      <a:pt x="598" y="768"/>
                    </a:lnTo>
                    <a:lnTo>
                      <a:pt x="598" y="777"/>
                    </a:lnTo>
                    <a:lnTo>
                      <a:pt x="598" y="777"/>
                    </a:lnTo>
                    <a:lnTo>
                      <a:pt x="598" y="777"/>
                    </a:lnTo>
                    <a:lnTo>
                      <a:pt x="598" y="786"/>
                    </a:lnTo>
                    <a:lnTo>
                      <a:pt x="589" y="786"/>
                    </a:lnTo>
                    <a:lnTo>
                      <a:pt x="589" y="786"/>
                    </a:lnTo>
                    <a:lnTo>
                      <a:pt x="589" y="786"/>
                    </a:lnTo>
                    <a:lnTo>
                      <a:pt x="589" y="794"/>
                    </a:lnTo>
                    <a:lnTo>
                      <a:pt x="589" y="794"/>
                    </a:lnTo>
                    <a:lnTo>
                      <a:pt x="589" y="794"/>
                    </a:lnTo>
                    <a:lnTo>
                      <a:pt x="580" y="794"/>
                    </a:lnTo>
                    <a:lnTo>
                      <a:pt x="580" y="803"/>
                    </a:lnTo>
                    <a:lnTo>
                      <a:pt x="580" y="803"/>
                    </a:lnTo>
                    <a:lnTo>
                      <a:pt x="580" y="803"/>
                    </a:lnTo>
                    <a:lnTo>
                      <a:pt x="580" y="812"/>
                    </a:lnTo>
                    <a:lnTo>
                      <a:pt x="580" y="812"/>
                    </a:lnTo>
                    <a:lnTo>
                      <a:pt x="580" y="812"/>
                    </a:lnTo>
                    <a:lnTo>
                      <a:pt x="580" y="821"/>
                    </a:lnTo>
                    <a:lnTo>
                      <a:pt x="580" y="821"/>
                    </a:lnTo>
                    <a:lnTo>
                      <a:pt x="580" y="821"/>
                    </a:lnTo>
                    <a:lnTo>
                      <a:pt x="580" y="821"/>
                    </a:lnTo>
                    <a:lnTo>
                      <a:pt x="580" y="830"/>
                    </a:lnTo>
                    <a:lnTo>
                      <a:pt x="572" y="830"/>
                    </a:lnTo>
                    <a:lnTo>
                      <a:pt x="572" y="830"/>
                    </a:lnTo>
                    <a:lnTo>
                      <a:pt x="572" y="830"/>
                    </a:lnTo>
                    <a:lnTo>
                      <a:pt x="572" y="830"/>
                    </a:lnTo>
                    <a:lnTo>
                      <a:pt x="572" y="830"/>
                    </a:lnTo>
                    <a:lnTo>
                      <a:pt x="572" y="839"/>
                    </a:lnTo>
                    <a:lnTo>
                      <a:pt x="572" y="839"/>
                    </a:lnTo>
                    <a:lnTo>
                      <a:pt x="572" y="839"/>
                    </a:lnTo>
                    <a:lnTo>
                      <a:pt x="572" y="839"/>
                    </a:lnTo>
                    <a:lnTo>
                      <a:pt x="572" y="839"/>
                    </a:lnTo>
                    <a:lnTo>
                      <a:pt x="572" y="848"/>
                    </a:lnTo>
                    <a:lnTo>
                      <a:pt x="572" y="848"/>
                    </a:lnTo>
                    <a:lnTo>
                      <a:pt x="563" y="848"/>
                    </a:lnTo>
                    <a:lnTo>
                      <a:pt x="563" y="848"/>
                    </a:lnTo>
                    <a:lnTo>
                      <a:pt x="563" y="848"/>
                    </a:lnTo>
                    <a:lnTo>
                      <a:pt x="563" y="857"/>
                    </a:lnTo>
                    <a:lnTo>
                      <a:pt x="563" y="857"/>
                    </a:lnTo>
                    <a:lnTo>
                      <a:pt x="563" y="857"/>
                    </a:lnTo>
                    <a:lnTo>
                      <a:pt x="554" y="857"/>
                    </a:lnTo>
                    <a:lnTo>
                      <a:pt x="554" y="857"/>
                    </a:lnTo>
                    <a:lnTo>
                      <a:pt x="554" y="866"/>
                    </a:lnTo>
                    <a:lnTo>
                      <a:pt x="554" y="866"/>
                    </a:lnTo>
                    <a:lnTo>
                      <a:pt x="554" y="866"/>
                    </a:lnTo>
                    <a:lnTo>
                      <a:pt x="554" y="866"/>
                    </a:lnTo>
                    <a:lnTo>
                      <a:pt x="554" y="866"/>
                    </a:lnTo>
                    <a:lnTo>
                      <a:pt x="554" y="866"/>
                    </a:lnTo>
                    <a:lnTo>
                      <a:pt x="554" y="875"/>
                    </a:lnTo>
                    <a:lnTo>
                      <a:pt x="554" y="875"/>
                    </a:lnTo>
                    <a:lnTo>
                      <a:pt x="554" y="875"/>
                    </a:lnTo>
                    <a:lnTo>
                      <a:pt x="554" y="875"/>
                    </a:lnTo>
                    <a:close/>
                  </a:path>
                </a:pathLst>
              </a:custGeom>
              <a:solidFill>
                <a:schemeClr val="accent6">
                  <a:lumMod val="75000"/>
                </a:schemeClr>
              </a:solidFill>
              <a:ln w="21590" cmpd="sng">
                <a:solidFill>
                  <a:srgbClr val="FFFFFF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48" name="Freeform 71">
                <a:extLst>
                  <a:ext uri="{FF2B5EF4-FFF2-40B4-BE49-F238E27FC236}">
                    <a16:creationId xmlns:a16="http://schemas.microsoft.com/office/drawing/2014/main" id="{00000000-0008-0000-0C00-000030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069" y="10386"/>
                <a:ext cx="1393" cy="2351"/>
              </a:xfrm>
              <a:custGeom>
                <a:avLst/>
                <a:gdLst>
                  <a:gd name="T0" fmla="*/ 850 w 1393"/>
                  <a:gd name="T1" fmla="*/ 120 h 2351"/>
                  <a:gd name="T2" fmla="*/ 940 w 1393"/>
                  <a:gd name="T3" fmla="*/ 160 h 2351"/>
                  <a:gd name="T4" fmla="*/ 1100 w 1393"/>
                  <a:gd name="T5" fmla="*/ 270 h 2351"/>
                  <a:gd name="T6" fmla="*/ 1220 w 1393"/>
                  <a:gd name="T7" fmla="*/ 360 h 2351"/>
                  <a:gd name="T8" fmla="*/ 1110 w 1393"/>
                  <a:gd name="T9" fmla="*/ 660 h 2351"/>
                  <a:gd name="T10" fmla="*/ 990 w 1393"/>
                  <a:gd name="T11" fmla="*/ 800 h 2351"/>
                  <a:gd name="T12" fmla="*/ 890 w 1393"/>
                  <a:gd name="T13" fmla="*/ 1040 h 2351"/>
                  <a:gd name="T14" fmla="*/ 960 w 1393"/>
                  <a:gd name="T15" fmla="*/ 1140 h 2351"/>
                  <a:gd name="T16" fmla="*/ 1140 w 1393"/>
                  <a:gd name="T17" fmla="*/ 1180 h 2351"/>
                  <a:gd name="T18" fmla="*/ 1100 w 1393"/>
                  <a:gd name="T19" fmla="*/ 1320 h 2351"/>
                  <a:gd name="T20" fmla="*/ 1000 w 1393"/>
                  <a:gd name="T21" fmla="*/ 1580 h 2351"/>
                  <a:gd name="T22" fmla="*/ 1150 w 1393"/>
                  <a:gd name="T23" fmla="*/ 1650 h 2351"/>
                  <a:gd name="T24" fmla="*/ 1340 w 1393"/>
                  <a:gd name="T25" fmla="*/ 2020 h 2351"/>
                  <a:gd name="T26" fmla="*/ 1370 w 1393"/>
                  <a:gd name="T27" fmla="*/ 2340 h 2351"/>
                  <a:gd name="T28" fmla="*/ 1260 w 1393"/>
                  <a:gd name="T29" fmla="*/ 2290 h 2351"/>
                  <a:gd name="T30" fmla="*/ 940 w 1393"/>
                  <a:gd name="T31" fmla="*/ 2100 h 2351"/>
                  <a:gd name="T32" fmla="*/ 760 w 1393"/>
                  <a:gd name="T33" fmla="*/ 2000 h 2351"/>
                  <a:gd name="T34" fmla="*/ 510 w 1393"/>
                  <a:gd name="T35" fmla="*/ 1850 h 2351"/>
                  <a:gd name="T36" fmla="*/ 230 w 1393"/>
                  <a:gd name="T37" fmla="*/ 1800 h 2351"/>
                  <a:gd name="T38" fmla="*/ 140 w 1393"/>
                  <a:gd name="T39" fmla="*/ 1740 h 2351"/>
                  <a:gd name="T40" fmla="*/ 200 w 1393"/>
                  <a:gd name="T41" fmla="*/ 1580 h 2351"/>
                  <a:gd name="T42" fmla="*/ 200 w 1393"/>
                  <a:gd name="T43" fmla="*/ 1400 h 2351"/>
                  <a:gd name="T44" fmla="*/ 50 w 1393"/>
                  <a:gd name="T45" fmla="*/ 1330 h 2351"/>
                  <a:gd name="T46" fmla="*/ 90 w 1393"/>
                  <a:gd name="T47" fmla="*/ 1100 h 2351"/>
                  <a:gd name="T48" fmla="*/ 180 w 1393"/>
                  <a:gd name="T49" fmla="*/ 1060 h 2351"/>
                  <a:gd name="T50" fmla="*/ 150 w 1393"/>
                  <a:gd name="T51" fmla="*/ 950 h 2351"/>
                  <a:gd name="T52" fmla="*/ 180 w 1393"/>
                  <a:gd name="T53" fmla="*/ 890 h 2351"/>
                  <a:gd name="T54" fmla="*/ 290 w 1393"/>
                  <a:gd name="T55" fmla="*/ 670 h 2351"/>
                  <a:gd name="T56" fmla="*/ 320 w 1393"/>
                  <a:gd name="T57" fmla="*/ 610 h 2351"/>
                  <a:gd name="T58" fmla="*/ 350 w 1393"/>
                  <a:gd name="T59" fmla="*/ 230 h 2351"/>
                  <a:gd name="T60" fmla="*/ 510 w 1393"/>
                  <a:gd name="T61" fmla="*/ 70 h 2351"/>
                  <a:gd name="T62" fmla="*/ 670 w 1393"/>
                  <a:gd name="T63" fmla="*/ 0 h 235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</a:cxnLst>
                <a:rect l="0" t="0" r="r" b="b"/>
                <a:pathLst>
                  <a:path w="1393" h="2351">
                    <a:moveTo>
                      <a:pt x="720" y="10"/>
                    </a:moveTo>
                    <a:cubicBezTo>
                      <a:pt x="776" y="29"/>
                      <a:pt x="809" y="79"/>
                      <a:pt x="850" y="120"/>
                    </a:cubicBezTo>
                    <a:cubicBezTo>
                      <a:pt x="865" y="135"/>
                      <a:pt x="892" y="128"/>
                      <a:pt x="910" y="140"/>
                    </a:cubicBezTo>
                    <a:cubicBezTo>
                      <a:pt x="920" y="147"/>
                      <a:pt x="932" y="151"/>
                      <a:pt x="940" y="160"/>
                    </a:cubicBezTo>
                    <a:cubicBezTo>
                      <a:pt x="962" y="185"/>
                      <a:pt x="980" y="213"/>
                      <a:pt x="1000" y="240"/>
                    </a:cubicBezTo>
                    <a:cubicBezTo>
                      <a:pt x="1055" y="226"/>
                      <a:pt x="1067" y="221"/>
                      <a:pt x="1100" y="270"/>
                    </a:cubicBezTo>
                    <a:cubicBezTo>
                      <a:pt x="1097" y="280"/>
                      <a:pt x="1092" y="290"/>
                      <a:pt x="1090" y="300"/>
                    </a:cubicBezTo>
                    <a:cubicBezTo>
                      <a:pt x="1067" y="417"/>
                      <a:pt x="1070" y="371"/>
                      <a:pt x="1220" y="360"/>
                    </a:cubicBezTo>
                    <a:cubicBezTo>
                      <a:pt x="1239" y="418"/>
                      <a:pt x="1210" y="470"/>
                      <a:pt x="1170" y="510"/>
                    </a:cubicBezTo>
                    <a:cubicBezTo>
                      <a:pt x="1161" y="573"/>
                      <a:pt x="1164" y="624"/>
                      <a:pt x="1110" y="660"/>
                    </a:cubicBezTo>
                    <a:cubicBezTo>
                      <a:pt x="1081" y="703"/>
                      <a:pt x="1064" y="690"/>
                      <a:pt x="1030" y="730"/>
                    </a:cubicBezTo>
                    <a:cubicBezTo>
                      <a:pt x="983" y="787"/>
                      <a:pt x="1039" y="732"/>
                      <a:pt x="990" y="800"/>
                    </a:cubicBezTo>
                    <a:cubicBezTo>
                      <a:pt x="964" y="837"/>
                      <a:pt x="941" y="858"/>
                      <a:pt x="920" y="900"/>
                    </a:cubicBezTo>
                    <a:cubicBezTo>
                      <a:pt x="912" y="948"/>
                      <a:pt x="905" y="994"/>
                      <a:pt x="890" y="1040"/>
                    </a:cubicBezTo>
                    <a:cubicBezTo>
                      <a:pt x="893" y="1063"/>
                      <a:pt x="890" y="1088"/>
                      <a:pt x="900" y="1110"/>
                    </a:cubicBezTo>
                    <a:cubicBezTo>
                      <a:pt x="905" y="1121"/>
                      <a:pt x="948" y="1139"/>
                      <a:pt x="960" y="1140"/>
                    </a:cubicBezTo>
                    <a:cubicBezTo>
                      <a:pt x="1016" y="1146"/>
                      <a:pt x="1073" y="1147"/>
                      <a:pt x="1130" y="1150"/>
                    </a:cubicBezTo>
                    <a:cubicBezTo>
                      <a:pt x="1133" y="1160"/>
                      <a:pt x="1140" y="1169"/>
                      <a:pt x="1140" y="1180"/>
                    </a:cubicBezTo>
                    <a:cubicBezTo>
                      <a:pt x="1140" y="1220"/>
                      <a:pt x="1141" y="1261"/>
                      <a:pt x="1130" y="1300"/>
                    </a:cubicBezTo>
                    <a:cubicBezTo>
                      <a:pt x="1127" y="1312"/>
                      <a:pt x="1111" y="1315"/>
                      <a:pt x="1100" y="1320"/>
                    </a:cubicBezTo>
                    <a:cubicBezTo>
                      <a:pt x="993" y="1368"/>
                      <a:pt x="1078" y="1315"/>
                      <a:pt x="1010" y="1360"/>
                    </a:cubicBezTo>
                    <a:cubicBezTo>
                      <a:pt x="1007" y="1433"/>
                      <a:pt x="994" y="1507"/>
                      <a:pt x="1000" y="1580"/>
                    </a:cubicBezTo>
                    <a:cubicBezTo>
                      <a:pt x="1001" y="1595"/>
                      <a:pt x="1052" y="1606"/>
                      <a:pt x="1060" y="1610"/>
                    </a:cubicBezTo>
                    <a:cubicBezTo>
                      <a:pt x="1089" y="1625"/>
                      <a:pt x="1150" y="1650"/>
                      <a:pt x="1150" y="1650"/>
                    </a:cubicBezTo>
                    <a:cubicBezTo>
                      <a:pt x="1165" y="1710"/>
                      <a:pt x="1169" y="1819"/>
                      <a:pt x="1190" y="1870"/>
                    </a:cubicBezTo>
                    <a:cubicBezTo>
                      <a:pt x="1217" y="1934"/>
                      <a:pt x="1274" y="1998"/>
                      <a:pt x="1340" y="2020"/>
                    </a:cubicBezTo>
                    <a:cubicBezTo>
                      <a:pt x="1361" y="2052"/>
                      <a:pt x="1373" y="2085"/>
                      <a:pt x="1390" y="2120"/>
                    </a:cubicBezTo>
                    <a:cubicBezTo>
                      <a:pt x="1381" y="2193"/>
                      <a:pt x="1393" y="2270"/>
                      <a:pt x="1370" y="2340"/>
                    </a:cubicBezTo>
                    <a:cubicBezTo>
                      <a:pt x="1366" y="2351"/>
                      <a:pt x="1351" y="2325"/>
                      <a:pt x="1340" y="2320"/>
                    </a:cubicBezTo>
                    <a:cubicBezTo>
                      <a:pt x="1314" y="2308"/>
                      <a:pt x="1287" y="2300"/>
                      <a:pt x="1260" y="2290"/>
                    </a:cubicBezTo>
                    <a:cubicBezTo>
                      <a:pt x="1166" y="2196"/>
                      <a:pt x="1143" y="2206"/>
                      <a:pt x="1000" y="2190"/>
                    </a:cubicBezTo>
                    <a:cubicBezTo>
                      <a:pt x="910" y="2123"/>
                      <a:pt x="1007" y="2207"/>
                      <a:pt x="940" y="2100"/>
                    </a:cubicBezTo>
                    <a:cubicBezTo>
                      <a:pt x="934" y="2090"/>
                      <a:pt x="919" y="2088"/>
                      <a:pt x="910" y="2080"/>
                    </a:cubicBezTo>
                    <a:cubicBezTo>
                      <a:pt x="826" y="2005"/>
                      <a:pt x="870" y="2018"/>
                      <a:pt x="760" y="2000"/>
                    </a:cubicBezTo>
                    <a:cubicBezTo>
                      <a:pt x="712" y="1968"/>
                      <a:pt x="659" y="1943"/>
                      <a:pt x="610" y="1910"/>
                    </a:cubicBezTo>
                    <a:cubicBezTo>
                      <a:pt x="579" y="1889"/>
                      <a:pt x="549" y="1856"/>
                      <a:pt x="510" y="1850"/>
                    </a:cubicBezTo>
                    <a:cubicBezTo>
                      <a:pt x="402" y="1835"/>
                      <a:pt x="424" y="1848"/>
                      <a:pt x="340" y="1830"/>
                    </a:cubicBezTo>
                    <a:cubicBezTo>
                      <a:pt x="303" y="1822"/>
                      <a:pt x="263" y="1818"/>
                      <a:pt x="230" y="1800"/>
                    </a:cubicBezTo>
                    <a:cubicBezTo>
                      <a:pt x="209" y="1788"/>
                      <a:pt x="190" y="1773"/>
                      <a:pt x="170" y="1760"/>
                    </a:cubicBezTo>
                    <a:cubicBezTo>
                      <a:pt x="160" y="1753"/>
                      <a:pt x="140" y="1740"/>
                      <a:pt x="140" y="1740"/>
                    </a:cubicBezTo>
                    <a:cubicBezTo>
                      <a:pt x="137" y="1713"/>
                      <a:pt x="124" y="1686"/>
                      <a:pt x="130" y="1660"/>
                    </a:cubicBezTo>
                    <a:cubicBezTo>
                      <a:pt x="140" y="1615"/>
                      <a:pt x="168" y="1601"/>
                      <a:pt x="200" y="1580"/>
                    </a:cubicBezTo>
                    <a:cubicBezTo>
                      <a:pt x="213" y="1560"/>
                      <a:pt x="244" y="1544"/>
                      <a:pt x="240" y="1520"/>
                    </a:cubicBezTo>
                    <a:cubicBezTo>
                      <a:pt x="234" y="1484"/>
                      <a:pt x="231" y="1428"/>
                      <a:pt x="200" y="1400"/>
                    </a:cubicBezTo>
                    <a:cubicBezTo>
                      <a:pt x="152" y="1358"/>
                      <a:pt x="137" y="1359"/>
                      <a:pt x="80" y="1340"/>
                    </a:cubicBezTo>
                    <a:cubicBezTo>
                      <a:pt x="70" y="1337"/>
                      <a:pt x="50" y="1330"/>
                      <a:pt x="50" y="1330"/>
                    </a:cubicBezTo>
                    <a:cubicBezTo>
                      <a:pt x="4" y="1261"/>
                      <a:pt x="18" y="1293"/>
                      <a:pt x="0" y="1240"/>
                    </a:cubicBezTo>
                    <a:cubicBezTo>
                      <a:pt x="14" y="1142"/>
                      <a:pt x="8" y="1155"/>
                      <a:pt x="90" y="1100"/>
                    </a:cubicBezTo>
                    <a:cubicBezTo>
                      <a:pt x="100" y="1093"/>
                      <a:pt x="110" y="1087"/>
                      <a:pt x="120" y="1080"/>
                    </a:cubicBezTo>
                    <a:cubicBezTo>
                      <a:pt x="138" y="1068"/>
                      <a:pt x="180" y="1060"/>
                      <a:pt x="180" y="1060"/>
                    </a:cubicBezTo>
                    <a:cubicBezTo>
                      <a:pt x="177" y="1043"/>
                      <a:pt x="174" y="1026"/>
                      <a:pt x="170" y="1010"/>
                    </a:cubicBezTo>
                    <a:cubicBezTo>
                      <a:pt x="164" y="990"/>
                      <a:pt x="150" y="950"/>
                      <a:pt x="150" y="950"/>
                    </a:cubicBezTo>
                    <a:cubicBezTo>
                      <a:pt x="153" y="940"/>
                      <a:pt x="155" y="929"/>
                      <a:pt x="160" y="920"/>
                    </a:cubicBezTo>
                    <a:cubicBezTo>
                      <a:pt x="165" y="909"/>
                      <a:pt x="175" y="901"/>
                      <a:pt x="180" y="890"/>
                    </a:cubicBezTo>
                    <a:cubicBezTo>
                      <a:pt x="228" y="783"/>
                      <a:pt x="175" y="868"/>
                      <a:pt x="220" y="800"/>
                    </a:cubicBezTo>
                    <a:cubicBezTo>
                      <a:pt x="234" y="743"/>
                      <a:pt x="248" y="712"/>
                      <a:pt x="290" y="670"/>
                    </a:cubicBezTo>
                    <a:cubicBezTo>
                      <a:pt x="293" y="660"/>
                      <a:pt x="295" y="649"/>
                      <a:pt x="300" y="640"/>
                    </a:cubicBezTo>
                    <a:cubicBezTo>
                      <a:pt x="305" y="629"/>
                      <a:pt x="316" y="621"/>
                      <a:pt x="320" y="610"/>
                    </a:cubicBezTo>
                    <a:cubicBezTo>
                      <a:pt x="331" y="581"/>
                      <a:pt x="333" y="550"/>
                      <a:pt x="340" y="520"/>
                    </a:cubicBezTo>
                    <a:cubicBezTo>
                      <a:pt x="343" y="423"/>
                      <a:pt x="341" y="326"/>
                      <a:pt x="350" y="230"/>
                    </a:cubicBezTo>
                    <a:cubicBezTo>
                      <a:pt x="353" y="200"/>
                      <a:pt x="421" y="166"/>
                      <a:pt x="430" y="160"/>
                    </a:cubicBezTo>
                    <a:cubicBezTo>
                      <a:pt x="465" y="136"/>
                      <a:pt x="475" y="94"/>
                      <a:pt x="510" y="70"/>
                    </a:cubicBezTo>
                    <a:cubicBezTo>
                      <a:pt x="519" y="64"/>
                      <a:pt x="575" y="51"/>
                      <a:pt x="580" y="50"/>
                    </a:cubicBezTo>
                    <a:cubicBezTo>
                      <a:pt x="649" y="4"/>
                      <a:pt x="617" y="18"/>
                      <a:pt x="670" y="0"/>
                    </a:cubicBezTo>
                    <a:cubicBezTo>
                      <a:pt x="733" y="11"/>
                      <a:pt x="750" y="10"/>
                      <a:pt x="720" y="10"/>
                    </a:cubicBezTo>
                    <a:close/>
                  </a:path>
                </a:pathLst>
              </a:custGeom>
              <a:solidFill>
                <a:schemeClr val="accent6">
                  <a:lumMod val="75000"/>
                </a:schemeClr>
              </a:solidFill>
              <a:ln w="21590" cap="flat" cmpd="sng">
                <a:solidFill>
                  <a:srgbClr val="FFFFFF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49" name="Freeform 72">
                <a:extLst>
                  <a:ext uri="{FF2B5EF4-FFF2-40B4-BE49-F238E27FC236}">
                    <a16:creationId xmlns:a16="http://schemas.microsoft.com/office/drawing/2014/main" id="{00000000-0008-0000-0C00-000031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328" y="6795"/>
                <a:ext cx="1844" cy="1993"/>
              </a:xfrm>
              <a:custGeom>
                <a:avLst/>
                <a:gdLst>
                  <a:gd name="T0" fmla="*/ 18 w 831"/>
                  <a:gd name="T1" fmla="*/ 742 h 840"/>
                  <a:gd name="T2" fmla="*/ 71 w 831"/>
                  <a:gd name="T3" fmla="*/ 724 h 840"/>
                  <a:gd name="T4" fmla="*/ 107 w 831"/>
                  <a:gd name="T5" fmla="*/ 643 h 840"/>
                  <a:gd name="T6" fmla="*/ 161 w 831"/>
                  <a:gd name="T7" fmla="*/ 527 h 840"/>
                  <a:gd name="T8" fmla="*/ 241 w 831"/>
                  <a:gd name="T9" fmla="*/ 420 h 840"/>
                  <a:gd name="T10" fmla="*/ 304 w 831"/>
                  <a:gd name="T11" fmla="*/ 376 h 840"/>
                  <a:gd name="T12" fmla="*/ 313 w 831"/>
                  <a:gd name="T13" fmla="*/ 358 h 840"/>
                  <a:gd name="T14" fmla="*/ 321 w 831"/>
                  <a:gd name="T15" fmla="*/ 358 h 840"/>
                  <a:gd name="T16" fmla="*/ 339 w 831"/>
                  <a:gd name="T17" fmla="*/ 349 h 840"/>
                  <a:gd name="T18" fmla="*/ 357 w 831"/>
                  <a:gd name="T19" fmla="*/ 349 h 840"/>
                  <a:gd name="T20" fmla="*/ 375 w 831"/>
                  <a:gd name="T21" fmla="*/ 349 h 840"/>
                  <a:gd name="T22" fmla="*/ 393 w 831"/>
                  <a:gd name="T23" fmla="*/ 358 h 840"/>
                  <a:gd name="T24" fmla="*/ 411 w 831"/>
                  <a:gd name="T25" fmla="*/ 349 h 840"/>
                  <a:gd name="T26" fmla="*/ 411 w 831"/>
                  <a:gd name="T27" fmla="*/ 331 h 840"/>
                  <a:gd name="T28" fmla="*/ 420 w 831"/>
                  <a:gd name="T29" fmla="*/ 322 h 840"/>
                  <a:gd name="T30" fmla="*/ 420 w 831"/>
                  <a:gd name="T31" fmla="*/ 295 h 840"/>
                  <a:gd name="T32" fmla="*/ 411 w 831"/>
                  <a:gd name="T33" fmla="*/ 286 h 840"/>
                  <a:gd name="T34" fmla="*/ 411 w 831"/>
                  <a:gd name="T35" fmla="*/ 277 h 840"/>
                  <a:gd name="T36" fmla="*/ 420 w 831"/>
                  <a:gd name="T37" fmla="*/ 259 h 840"/>
                  <a:gd name="T38" fmla="*/ 420 w 831"/>
                  <a:gd name="T39" fmla="*/ 251 h 840"/>
                  <a:gd name="T40" fmla="*/ 420 w 831"/>
                  <a:gd name="T41" fmla="*/ 233 h 840"/>
                  <a:gd name="T42" fmla="*/ 411 w 831"/>
                  <a:gd name="T43" fmla="*/ 224 h 840"/>
                  <a:gd name="T44" fmla="*/ 420 w 831"/>
                  <a:gd name="T45" fmla="*/ 215 h 840"/>
                  <a:gd name="T46" fmla="*/ 429 w 831"/>
                  <a:gd name="T47" fmla="*/ 206 h 840"/>
                  <a:gd name="T48" fmla="*/ 446 w 831"/>
                  <a:gd name="T49" fmla="*/ 206 h 840"/>
                  <a:gd name="T50" fmla="*/ 455 w 831"/>
                  <a:gd name="T51" fmla="*/ 206 h 840"/>
                  <a:gd name="T52" fmla="*/ 446 w 831"/>
                  <a:gd name="T53" fmla="*/ 197 h 840"/>
                  <a:gd name="T54" fmla="*/ 446 w 831"/>
                  <a:gd name="T55" fmla="*/ 179 h 840"/>
                  <a:gd name="T56" fmla="*/ 446 w 831"/>
                  <a:gd name="T57" fmla="*/ 170 h 840"/>
                  <a:gd name="T58" fmla="*/ 455 w 831"/>
                  <a:gd name="T59" fmla="*/ 161 h 840"/>
                  <a:gd name="T60" fmla="*/ 464 w 831"/>
                  <a:gd name="T61" fmla="*/ 152 h 840"/>
                  <a:gd name="T62" fmla="*/ 482 w 831"/>
                  <a:gd name="T63" fmla="*/ 161 h 840"/>
                  <a:gd name="T64" fmla="*/ 491 w 831"/>
                  <a:gd name="T65" fmla="*/ 152 h 840"/>
                  <a:gd name="T66" fmla="*/ 491 w 831"/>
                  <a:gd name="T67" fmla="*/ 143 h 840"/>
                  <a:gd name="T68" fmla="*/ 482 w 831"/>
                  <a:gd name="T69" fmla="*/ 125 h 840"/>
                  <a:gd name="T70" fmla="*/ 473 w 831"/>
                  <a:gd name="T71" fmla="*/ 117 h 840"/>
                  <a:gd name="T72" fmla="*/ 464 w 831"/>
                  <a:gd name="T73" fmla="*/ 99 h 840"/>
                  <a:gd name="T74" fmla="*/ 473 w 831"/>
                  <a:gd name="T75" fmla="*/ 81 h 840"/>
                  <a:gd name="T76" fmla="*/ 482 w 831"/>
                  <a:gd name="T77" fmla="*/ 63 h 840"/>
                  <a:gd name="T78" fmla="*/ 500 w 831"/>
                  <a:gd name="T79" fmla="*/ 63 h 840"/>
                  <a:gd name="T80" fmla="*/ 509 w 831"/>
                  <a:gd name="T81" fmla="*/ 63 h 840"/>
                  <a:gd name="T82" fmla="*/ 527 w 831"/>
                  <a:gd name="T83" fmla="*/ 54 h 840"/>
                  <a:gd name="T84" fmla="*/ 536 w 831"/>
                  <a:gd name="T85" fmla="*/ 45 h 840"/>
                  <a:gd name="T86" fmla="*/ 536 w 831"/>
                  <a:gd name="T87" fmla="*/ 27 h 840"/>
                  <a:gd name="T88" fmla="*/ 536 w 831"/>
                  <a:gd name="T89" fmla="*/ 9 h 840"/>
                  <a:gd name="T90" fmla="*/ 563 w 831"/>
                  <a:gd name="T91" fmla="*/ 9 h 840"/>
                  <a:gd name="T92" fmla="*/ 625 w 831"/>
                  <a:gd name="T93" fmla="*/ 27 h 840"/>
                  <a:gd name="T94" fmla="*/ 670 w 831"/>
                  <a:gd name="T95" fmla="*/ 27 h 840"/>
                  <a:gd name="T96" fmla="*/ 706 w 831"/>
                  <a:gd name="T97" fmla="*/ 0 h 840"/>
                  <a:gd name="T98" fmla="*/ 750 w 831"/>
                  <a:gd name="T99" fmla="*/ 9 h 840"/>
                  <a:gd name="T100" fmla="*/ 786 w 831"/>
                  <a:gd name="T101" fmla="*/ 18 h 840"/>
                  <a:gd name="T102" fmla="*/ 831 w 831"/>
                  <a:gd name="T103" fmla="*/ 54 h 840"/>
                  <a:gd name="T104" fmla="*/ 786 w 831"/>
                  <a:gd name="T105" fmla="*/ 152 h 840"/>
                  <a:gd name="T106" fmla="*/ 679 w 831"/>
                  <a:gd name="T107" fmla="*/ 188 h 840"/>
                  <a:gd name="T108" fmla="*/ 732 w 831"/>
                  <a:gd name="T109" fmla="*/ 259 h 840"/>
                  <a:gd name="T110" fmla="*/ 643 w 831"/>
                  <a:gd name="T111" fmla="*/ 322 h 840"/>
                  <a:gd name="T112" fmla="*/ 491 w 831"/>
                  <a:gd name="T113" fmla="*/ 358 h 840"/>
                  <a:gd name="T114" fmla="*/ 500 w 831"/>
                  <a:gd name="T115" fmla="*/ 509 h 840"/>
                  <a:gd name="T116" fmla="*/ 464 w 831"/>
                  <a:gd name="T117" fmla="*/ 599 h 840"/>
                  <a:gd name="T118" fmla="*/ 446 w 831"/>
                  <a:gd name="T119" fmla="*/ 688 h 840"/>
                  <a:gd name="T120" fmla="*/ 330 w 831"/>
                  <a:gd name="T121" fmla="*/ 697 h 840"/>
                  <a:gd name="T122" fmla="*/ 268 w 831"/>
                  <a:gd name="T123" fmla="*/ 795 h 840"/>
                  <a:gd name="T124" fmla="*/ 107 w 831"/>
                  <a:gd name="T125" fmla="*/ 822 h 84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831" h="840">
                    <a:moveTo>
                      <a:pt x="98" y="840"/>
                    </a:moveTo>
                    <a:lnTo>
                      <a:pt x="89" y="840"/>
                    </a:lnTo>
                    <a:lnTo>
                      <a:pt x="62" y="840"/>
                    </a:lnTo>
                    <a:lnTo>
                      <a:pt x="36" y="831"/>
                    </a:lnTo>
                    <a:lnTo>
                      <a:pt x="18" y="813"/>
                    </a:lnTo>
                    <a:lnTo>
                      <a:pt x="0" y="786"/>
                    </a:lnTo>
                    <a:lnTo>
                      <a:pt x="0" y="768"/>
                    </a:lnTo>
                    <a:lnTo>
                      <a:pt x="18" y="742"/>
                    </a:lnTo>
                    <a:lnTo>
                      <a:pt x="27" y="733"/>
                    </a:lnTo>
                    <a:lnTo>
                      <a:pt x="36" y="733"/>
                    </a:lnTo>
                    <a:lnTo>
                      <a:pt x="45" y="742"/>
                    </a:lnTo>
                    <a:lnTo>
                      <a:pt x="45" y="751"/>
                    </a:lnTo>
                    <a:lnTo>
                      <a:pt x="62" y="751"/>
                    </a:lnTo>
                    <a:lnTo>
                      <a:pt x="71" y="751"/>
                    </a:lnTo>
                    <a:lnTo>
                      <a:pt x="71" y="742"/>
                    </a:lnTo>
                    <a:lnTo>
                      <a:pt x="71" y="724"/>
                    </a:lnTo>
                    <a:lnTo>
                      <a:pt x="71" y="715"/>
                    </a:lnTo>
                    <a:lnTo>
                      <a:pt x="80" y="706"/>
                    </a:lnTo>
                    <a:lnTo>
                      <a:pt x="98" y="715"/>
                    </a:lnTo>
                    <a:lnTo>
                      <a:pt x="107" y="715"/>
                    </a:lnTo>
                    <a:lnTo>
                      <a:pt x="116" y="706"/>
                    </a:lnTo>
                    <a:lnTo>
                      <a:pt x="116" y="679"/>
                    </a:lnTo>
                    <a:lnTo>
                      <a:pt x="116" y="661"/>
                    </a:lnTo>
                    <a:lnTo>
                      <a:pt x="107" y="643"/>
                    </a:lnTo>
                    <a:lnTo>
                      <a:pt x="98" y="626"/>
                    </a:lnTo>
                    <a:lnTo>
                      <a:pt x="107" y="617"/>
                    </a:lnTo>
                    <a:lnTo>
                      <a:pt x="116" y="608"/>
                    </a:lnTo>
                    <a:lnTo>
                      <a:pt x="134" y="599"/>
                    </a:lnTo>
                    <a:lnTo>
                      <a:pt x="161" y="590"/>
                    </a:lnTo>
                    <a:lnTo>
                      <a:pt x="170" y="572"/>
                    </a:lnTo>
                    <a:lnTo>
                      <a:pt x="161" y="554"/>
                    </a:lnTo>
                    <a:lnTo>
                      <a:pt x="161" y="527"/>
                    </a:lnTo>
                    <a:lnTo>
                      <a:pt x="161" y="501"/>
                    </a:lnTo>
                    <a:lnTo>
                      <a:pt x="187" y="501"/>
                    </a:lnTo>
                    <a:lnTo>
                      <a:pt x="205" y="492"/>
                    </a:lnTo>
                    <a:lnTo>
                      <a:pt x="205" y="474"/>
                    </a:lnTo>
                    <a:lnTo>
                      <a:pt x="196" y="438"/>
                    </a:lnTo>
                    <a:lnTo>
                      <a:pt x="214" y="438"/>
                    </a:lnTo>
                    <a:lnTo>
                      <a:pt x="214" y="420"/>
                    </a:lnTo>
                    <a:lnTo>
                      <a:pt x="241" y="420"/>
                    </a:lnTo>
                    <a:lnTo>
                      <a:pt x="259" y="411"/>
                    </a:lnTo>
                    <a:lnTo>
                      <a:pt x="259" y="393"/>
                    </a:lnTo>
                    <a:lnTo>
                      <a:pt x="268" y="384"/>
                    </a:lnTo>
                    <a:lnTo>
                      <a:pt x="286" y="384"/>
                    </a:lnTo>
                    <a:lnTo>
                      <a:pt x="304" y="376"/>
                    </a:lnTo>
                    <a:lnTo>
                      <a:pt x="304" y="376"/>
                    </a:lnTo>
                    <a:lnTo>
                      <a:pt x="304" y="376"/>
                    </a:lnTo>
                    <a:lnTo>
                      <a:pt x="304" y="376"/>
                    </a:lnTo>
                    <a:lnTo>
                      <a:pt x="304" y="376"/>
                    </a:lnTo>
                    <a:lnTo>
                      <a:pt x="304" y="367"/>
                    </a:lnTo>
                    <a:lnTo>
                      <a:pt x="304" y="367"/>
                    </a:lnTo>
                    <a:lnTo>
                      <a:pt x="304" y="367"/>
                    </a:lnTo>
                    <a:lnTo>
                      <a:pt x="304" y="367"/>
                    </a:lnTo>
                    <a:lnTo>
                      <a:pt x="304" y="367"/>
                    </a:lnTo>
                    <a:lnTo>
                      <a:pt x="304" y="367"/>
                    </a:lnTo>
                    <a:lnTo>
                      <a:pt x="313" y="358"/>
                    </a:lnTo>
                    <a:lnTo>
                      <a:pt x="313" y="358"/>
                    </a:lnTo>
                    <a:lnTo>
                      <a:pt x="313" y="358"/>
                    </a:lnTo>
                    <a:lnTo>
                      <a:pt x="313" y="358"/>
                    </a:lnTo>
                    <a:lnTo>
                      <a:pt x="313" y="358"/>
                    </a:lnTo>
                    <a:lnTo>
                      <a:pt x="313" y="358"/>
                    </a:lnTo>
                    <a:lnTo>
                      <a:pt x="313" y="358"/>
                    </a:lnTo>
                    <a:lnTo>
                      <a:pt x="321" y="358"/>
                    </a:lnTo>
                    <a:lnTo>
                      <a:pt x="321" y="358"/>
                    </a:lnTo>
                    <a:lnTo>
                      <a:pt x="321" y="349"/>
                    </a:lnTo>
                    <a:lnTo>
                      <a:pt x="330" y="349"/>
                    </a:lnTo>
                    <a:lnTo>
                      <a:pt x="330" y="349"/>
                    </a:lnTo>
                    <a:lnTo>
                      <a:pt x="330" y="349"/>
                    </a:lnTo>
                    <a:lnTo>
                      <a:pt x="339" y="349"/>
                    </a:lnTo>
                    <a:lnTo>
                      <a:pt x="339" y="349"/>
                    </a:lnTo>
                    <a:lnTo>
                      <a:pt x="339" y="349"/>
                    </a:lnTo>
                    <a:lnTo>
                      <a:pt x="339" y="349"/>
                    </a:lnTo>
                    <a:lnTo>
                      <a:pt x="348" y="349"/>
                    </a:lnTo>
                    <a:lnTo>
                      <a:pt x="348" y="349"/>
                    </a:lnTo>
                    <a:lnTo>
                      <a:pt x="348" y="349"/>
                    </a:lnTo>
                    <a:lnTo>
                      <a:pt x="348" y="349"/>
                    </a:lnTo>
                    <a:lnTo>
                      <a:pt x="348" y="349"/>
                    </a:lnTo>
                    <a:lnTo>
                      <a:pt x="357" y="349"/>
                    </a:lnTo>
                    <a:lnTo>
                      <a:pt x="357" y="349"/>
                    </a:lnTo>
                    <a:lnTo>
                      <a:pt x="357" y="349"/>
                    </a:lnTo>
                    <a:lnTo>
                      <a:pt x="357" y="349"/>
                    </a:lnTo>
                    <a:lnTo>
                      <a:pt x="366" y="349"/>
                    </a:lnTo>
                    <a:lnTo>
                      <a:pt x="366" y="349"/>
                    </a:lnTo>
                    <a:lnTo>
                      <a:pt x="366" y="349"/>
                    </a:lnTo>
                    <a:lnTo>
                      <a:pt x="375" y="349"/>
                    </a:lnTo>
                    <a:lnTo>
                      <a:pt x="375" y="349"/>
                    </a:lnTo>
                    <a:lnTo>
                      <a:pt x="375" y="349"/>
                    </a:lnTo>
                    <a:lnTo>
                      <a:pt x="375" y="349"/>
                    </a:lnTo>
                    <a:lnTo>
                      <a:pt x="384" y="349"/>
                    </a:lnTo>
                    <a:lnTo>
                      <a:pt x="384" y="349"/>
                    </a:lnTo>
                    <a:lnTo>
                      <a:pt x="384" y="349"/>
                    </a:lnTo>
                    <a:lnTo>
                      <a:pt x="384" y="349"/>
                    </a:lnTo>
                    <a:lnTo>
                      <a:pt x="393" y="349"/>
                    </a:lnTo>
                    <a:lnTo>
                      <a:pt x="393" y="349"/>
                    </a:lnTo>
                    <a:lnTo>
                      <a:pt x="393" y="358"/>
                    </a:lnTo>
                    <a:lnTo>
                      <a:pt x="393" y="358"/>
                    </a:lnTo>
                    <a:lnTo>
                      <a:pt x="393" y="358"/>
                    </a:lnTo>
                    <a:lnTo>
                      <a:pt x="402" y="358"/>
                    </a:lnTo>
                    <a:lnTo>
                      <a:pt x="402" y="358"/>
                    </a:lnTo>
                    <a:lnTo>
                      <a:pt x="402" y="358"/>
                    </a:lnTo>
                    <a:lnTo>
                      <a:pt x="402" y="358"/>
                    </a:lnTo>
                    <a:lnTo>
                      <a:pt x="411" y="358"/>
                    </a:lnTo>
                    <a:lnTo>
                      <a:pt x="411" y="349"/>
                    </a:lnTo>
                    <a:lnTo>
                      <a:pt x="411" y="349"/>
                    </a:lnTo>
                    <a:lnTo>
                      <a:pt x="411" y="349"/>
                    </a:lnTo>
                    <a:lnTo>
                      <a:pt x="411" y="349"/>
                    </a:lnTo>
                    <a:lnTo>
                      <a:pt x="411" y="340"/>
                    </a:lnTo>
                    <a:lnTo>
                      <a:pt x="411" y="340"/>
                    </a:lnTo>
                    <a:lnTo>
                      <a:pt x="411" y="340"/>
                    </a:lnTo>
                    <a:lnTo>
                      <a:pt x="411" y="340"/>
                    </a:lnTo>
                    <a:lnTo>
                      <a:pt x="411" y="331"/>
                    </a:lnTo>
                    <a:lnTo>
                      <a:pt x="411" y="331"/>
                    </a:lnTo>
                    <a:lnTo>
                      <a:pt x="411" y="331"/>
                    </a:lnTo>
                    <a:lnTo>
                      <a:pt x="411" y="331"/>
                    </a:lnTo>
                    <a:lnTo>
                      <a:pt x="411" y="331"/>
                    </a:lnTo>
                    <a:lnTo>
                      <a:pt x="411" y="331"/>
                    </a:lnTo>
                    <a:lnTo>
                      <a:pt x="420" y="322"/>
                    </a:lnTo>
                    <a:lnTo>
                      <a:pt x="420" y="322"/>
                    </a:lnTo>
                    <a:lnTo>
                      <a:pt x="420" y="322"/>
                    </a:lnTo>
                    <a:lnTo>
                      <a:pt x="420" y="322"/>
                    </a:lnTo>
                    <a:lnTo>
                      <a:pt x="420" y="313"/>
                    </a:lnTo>
                    <a:lnTo>
                      <a:pt x="420" y="313"/>
                    </a:lnTo>
                    <a:lnTo>
                      <a:pt x="420" y="313"/>
                    </a:lnTo>
                    <a:lnTo>
                      <a:pt x="420" y="304"/>
                    </a:lnTo>
                    <a:lnTo>
                      <a:pt x="420" y="304"/>
                    </a:lnTo>
                    <a:lnTo>
                      <a:pt x="420" y="304"/>
                    </a:lnTo>
                    <a:lnTo>
                      <a:pt x="420" y="295"/>
                    </a:lnTo>
                    <a:lnTo>
                      <a:pt x="420" y="295"/>
                    </a:lnTo>
                    <a:lnTo>
                      <a:pt x="420" y="295"/>
                    </a:lnTo>
                    <a:lnTo>
                      <a:pt x="411" y="295"/>
                    </a:lnTo>
                    <a:lnTo>
                      <a:pt x="411" y="295"/>
                    </a:lnTo>
                    <a:lnTo>
                      <a:pt x="411" y="295"/>
                    </a:lnTo>
                    <a:lnTo>
                      <a:pt x="411" y="286"/>
                    </a:lnTo>
                    <a:lnTo>
                      <a:pt x="411" y="286"/>
                    </a:lnTo>
                    <a:lnTo>
                      <a:pt x="411" y="286"/>
                    </a:lnTo>
                    <a:lnTo>
                      <a:pt x="411" y="286"/>
                    </a:lnTo>
                    <a:lnTo>
                      <a:pt x="411" y="286"/>
                    </a:lnTo>
                    <a:lnTo>
                      <a:pt x="411" y="286"/>
                    </a:lnTo>
                    <a:lnTo>
                      <a:pt x="411" y="277"/>
                    </a:lnTo>
                    <a:lnTo>
                      <a:pt x="411" y="277"/>
                    </a:lnTo>
                    <a:lnTo>
                      <a:pt x="411" y="277"/>
                    </a:lnTo>
                    <a:lnTo>
                      <a:pt x="411" y="277"/>
                    </a:lnTo>
                    <a:lnTo>
                      <a:pt x="411" y="277"/>
                    </a:lnTo>
                    <a:lnTo>
                      <a:pt x="411" y="277"/>
                    </a:lnTo>
                    <a:lnTo>
                      <a:pt x="411" y="268"/>
                    </a:lnTo>
                    <a:lnTo>
                      <a:pt x="411" y="268"/>
                    </a:lnTo>
                    <a:lnTo>
                      <a:pt x="411" y="268"/>
                    </a:lnTo>
                    <a:lnTo>
                      <a:pt x="411" y="268"/>
                    </a:lnTo>
                    <a:lnTo>
                      <a:pt x="411" y="268"/>
                    </a:lnTo>
                    <a:lnTo>
                      <a:pt x="411" y="259"/>
                    </a:lnTo>
                    <a:lnTo>
                      <a:pt x="411" y="259"/>
                    </a:lnTo>
                    <a:lnTo>
                      <a:pt x="420" y="259"/>
                    </a:lnTo>
                    <a:lnTo>
                      <a:pt x="420" y="259"/>
                    </a:lnTo>
                    <a:lnTo>
                      <a:pt x="420" y="259"/>
                    </a:lnTo>
                    <a:lnTo>
                      <a:pt x="420" y="259"/>
                    </a:lnTo>
                    <a:lnTo>
                      <a:pt x="420" y="259"/>
                    </a:lnTo>
                    <a:lnTo>
                      <a:pt x="420" y="251"/>
                    </a:lnTo>
                    <a:lnTo>
                      <a:pt x="420" y="251"/>
                    </a:lnTo>
                    <a:lnTo>
                      <a:pt x="420" y="251"/>
                    </a:lnTo>
                    <a:lnTo>
                      <a:pt x="420" y="251"/>
                    </a:lnTo>
                    <a:lnTo>
                      <a:pt x="420" y="242"/>
                    </a:lnTo>
                    <a:lnTo>
                      <a:pt x="420" y="242"/>
                    </a:lnTo>
                    <a:lnTo>
                      <a:pt x="420" y="242"/>
                    </a:lnTo>
                    <a:lnTo>
                      <a:pt x="420" y="233"/>
                    </a:lnTo>
                    <a:lnTo>
                      <a:pt x="420" y="233"/>
                    </a:lnTo>
                    <a:lnTo>
                      <a:pt x="420" y="233"/>
                    </a:lnTo>
                    <a:lnTo>
                      <a:pt x="420" y="233"/>
                    </a:lnTo>
                    <a:lnTo>
                      <a:pt x="420" y="233"/>
                    </a:lnTo>
                    <a:lnTo>
                      <a:pt x="420" y="224"/>
                    </a:lnTo>
                    <a:lnTo>
                      <a:pt x="420" y="224"/>
                    </a:lnTo>
                    <a:lnTo>
                      <a:pt x="420" y="224"/>
                    </a:lnTo>
                    <a:lnTo>
                      <a:pt x="411" y="224"/>
                    </a:lnTo>
                    <a:lnTo>
                      <a:pt x="411" y="224"/>
                    </a:lnTo>
                    <a:lnTo>
                      <a:pt x="411" y="224"/>
                    </a:lnTo>
                    <a:lnTo>
                      <a:pt x="411" y="224"/>
                    </a:lnTo>
                    <a:lnTo>
                      <a:pt x="411" y="224"/>
                    </a:lnTo>
                    <a:lnTo>
                      <a:pt x="411" y="215"/>
                    </a:lnTo>
                    <a:lnTo>
                      <a:pt x="411" y="215"/>
                    </a:lnTo>
                    <a:lnTo>
                      <a:pt x="411" y="215"/>
                    </a:lnTo>
                    <a:lnTo>
                      <a:pt x="420" y="215"/>
                    </a:lnTo>
                    <a:lnTo>
                      <a:pt x="420" y="215"/>
                    </a:lnTo>
                    <a:lnTo>
                      <a:pt x="420" y="215"/>
                    </a:lnTo>
                    <a:lnTo>
                      <a:pt x="420" y="215"/>
                    </a:lnTo>
                    <a:lnTo>
                      <a:pt x="420" y="215"/>
                    </a:lnTo>
                    <a:lnTo>
                      <a:pt x="420" y="206"/>
                    </a:lnTo>
                    <a:lnTo>
                      <a:pt x="420" y="206"/>
                    </a:lnTo>
                    <a:lnTo>
                      <a:pt x="420" y="206"/>
                    </a:lnTo>
                    <a:lnTo>
                      <a:pt x="420" y="206"/>
                    </a:lnTo>
                    <a:lnTo>
                      <a:pt x="429" y="206"/>
                    </a:lnTo>
                    <a:lnTo>
                      <a:pt x="429" y="206"/>
                    </a:lnTo>
                    <a:lnTo>
                      <a:pt x="429" y="206"/>
                    </a:lnTo>
                    <a:lnTo>
                      <a:pt x="429" y="206"/>
                    </a:lnTo>
                    <a:lnTo>
                      <a:pt x="429" y="206"/>
                    </a:lnTo>
                    <a:lnTo>
                      <a:pt x="438" y="206"/>
                    </a:lnTo>
                    <a:lnTo>
                      <a:pt x="438" y="206"/>
                    </a:lnTo>
                    <a:lnTo>
                      <a:pt x="438" y="206"/>
                    </a:lnTo>
                    <a:lnTo>
                      <a:pt x="438" y="206"/>
                    </a:lnTo>
                    <a:lnTo>
                      <a:pt x="446" y="206"/>
                    </a:lnTo>
                    <a:lnTo>
                      <a:pt x="446" y="206"/>
                    </a:lnTo>
                    <a:lnTo>
                      <a:pt x="446" y="206"/>
                    </a:lnTo>
                    <a:lnTo>
                      <a:pt x="446" y="206"/>
                    </a:lnTo>
                    <a:lnTo>
                      <a:pt x="446" y="206"/>
                    </a:lnTo>
                    <a:lnTo>
                      <a:pt x="446" y="206"/>
                    </a:lnTo>
                    <a:lnTo>
                      <a:pt x="455" y="206"/>
                    </a:lnTo>
                    <a:lnTo>
                      <a:pt x="455" y="206"/>
                    </a:lnTo>
                    <a:lnTo>
                      <a:pt x="455" y="206"/>
                    </a:lnTo>
                    <a:lnTo>
                      <a:pt x="455" y="206"/>
                    </a:lnTo>
                    <a:lnTo>
                      <a:pt x="455" y="206"/>
                    </a:lnTo>
                    <a:lnTo>
                      <a:pt x="455" y="206"/>
                    </a:lnTo>
                    <a:lnTo>
                      <a:pt x="455" y="206"/>
                    </a:lnTo>
                    <a:lnTo>
                      <a:pt x="455" y="206"/>
                    </a:lnTo>
                    <a:lnTo>
                      <a:pt x="446" y="206"/>
                    </a:lnTo>
                    <a:lnTo>
                      <a:pt x="446" y="206"/>
                    </a:lnTo>
                    <a:lnTo>
                      <a:pt x="446" y="197"/>
                    </a:lnTo>
                    <a:lnTo>
                      <a:pt x="446" y="197"/>
                    </a:lnTo>
                    <a:lnTo>
                      <a:pt x="446" y="197"/>
                    </a:lnTo>
                    <a:lnTo>
                      <a:pt x="446" y="197"/>
                    </a:lnTo>
                    <a:lnTo>
                      <a:pt x="446" y="188"/>
                    </a:lnTo>
                    <a:lnTo>
                      <a:pt x="446" y="188"/>
                    </a:lnTo>
                    <a:lnTo>
                      <a:pt x="446" y="188"/>
                    </a:lnTo>
                    <a:lnTo>
                      <a:pt x="446" y="188"/>
                    </a:lnTo>
                    <a:lnTo>
                      <a:pt x="446" y="188"/>
                    </a:lnTo>
                    <a:lnTo>
                      <a:pt x="446" y="179"/>
                    </a:lnTo>
                    <a:lnTo>
                      <a:pt x="446" y="179"/>
                    </a:lnTo>
                    <a:lnTo>
                      <a:pt x="446" y="179"/>
                    </a:lnTo>
                    <a:lnTo>
                      <a:pt x="446" y="179"/>
                    </a:lnTo>
                    <a:lnTo>
                      <a:pt x="446" y="179"/>
                    </a:lnTo>
                    <a:lnTo>
                      <a:pt x="446" y="170"/>
                    </a:lnTo>
                    <a:lnTo>
                      <a:pt x="446" y="170"/>
                    </a:lnTo>
                    <a:lnTo>
                      <a:pt x="446" y="170"/>
                    </a:lnTo>
                    <a:lnTo>
                      <a:pt x="446" y="170"/>
                    </a:lnTo>
                    <a:lnTo>
                      <a:pt x="446" y="170"/>
                    </a:lnTo>
                    <a:lnTo>
                      <a:pt x="446" y="170"/>
                    </a:lnTo>
                    <a:lnTo>
                      <a:pt x="446" y="170"/>
                    </a:lnTo>
                    <a:lnTo>
                      <a:pt x="455" y="161"/>
                    </a:lnTo>
                    <a:lnTo>
                      <a:pt x="455" y="161"/>
                    </a:lnTo>
                    <a:lnTo>
                      <a:pt x="455" y="161"/>
                    </a:lnTo>
                    <a:lnTo>
                      <a:pt x="455" y="161"/>
                    </a:lnTo>
                    <a:lnTo>
                      <a:pt x="455" y="161"/>
                    </a:lnTo>
                    <a:lnTo>
                      <a:pt x="455" y="161"/>
                    </a:lnTo>
                    <a:lnTo>
                      <a:pt x="455" y="161"/>
                    </a:lnTo>
                    <a:lnTo>
                      <a:pt x="455" y="161"/>
                    </a:lnTo>
                    <a:lnTo>
                      <a:pt x="455" y="161"/>
                    </a:lnTo>
                    <a:lnTo>
                      <a:pt x="455" y="161"/>
                    </a:lnTo>
                    <a:lnTo>
                      <a:pt x="464" y="152"/>
                    </a:lnTo>
                    <a:lnTo>
                      <a:pt x="464" y="152"/>
                    </a:lnTo>
                    <a:lnTo>
                      <a:pt x="464" y="152"/>
                    </a:lnTo>
                    <a:lnTo>
                      <a:pt x="464" y="152"/>
                    </a:lnTo>
                    <a:lnTo>
                      <a:pt x="464" y="152"/>
                    </a:lnTo>
                    <a:lnTo>
                      <a:pt x="464" y="152"/>
                    </a:lnTo>
                    <a:lnTo>
                      <a:pt x="473" y="161"/>
                    </a:lnTo>
                    <a:lnTo>
                      <a:pt x="473" y="161"/>
                    </a:lnTo>
                    <a:lnTo>
                      <a:pt x="473" y="161"/>
                    </a:lnTo>
                    <a:lnTo>
                      <a:pt x="473" y="161"/>
                    </a:lnTo>
                    <a:lnTo>
                      <a:pt x="473" y="161"/>
                    </a:lnTo>
                    <a:lnTo>
                      <a:pt x="482" y="161"/>
                    </a:lnTo>
                    <a:lnTo>
                      <a:pt x="482" y="161"/>
                    </a:lnTo>
                    <a:lnTo>
                      <a:pt x="482" y="161"/>
                    </a:lnTo>
                    <a:lnTo>
                      <a:pt x="482" y="161"/>
                    </a:lnTo>
                    <a:lnTo>
                      <a:pt x="491" y="161"/>
                    </a:lnTo>
                    <a:lnTo>
                      <a:pt x="491" y="161"/>
                    </a:lnTo>
                    <a:lnTo>
                      <a:pt x="491" y="161"/>
                    </a:lnTo>
                    <a:lnTo>
                      <a:pt x="491" y="152"/>
                    </a:lnTo>
                    <a:lnTo>
                      <a:pt x="491" y="152"/>
                    </a:lnTo>
                    <a:lnTo>
                      <a:pt x="491" y="152"/>
                    </a:lnTo>
                    <a:lnTo>
                      <a:pt x="491" y="152"/>
                    </a:lnTo>
                    <a:lnTo>
                      <a:pt x="491" y="152"/>
                    </a:lnTo>
                    <a:lnTo>
                      <a:pt x="491" y="152"/>
                    </a:lnTo>
                    <a:lnTo>
                      <a:pt x="491" y="152"/>
                    </a:lnTo>
                    <a:lnTo>
                      <a:pt x="491" y="152"/>
                    </a:lnTo>
                    <a:lnTo>
                      <a:pt x="491" y="143"/>
                    </a:lnTo>
                    <a:lnTo>
                      <a:pt x="491" y="143"/>
                    </a:lnTo>
                    <a:lnTo>
                      <a:pt x="491" y="143"/>
                    </a:lnTo>
                    <a:lnTo>
                      <a:pt x="491" y="143"/>
                    </a:lnTo>
                    <a:lnTo>
                      <a:pt x="491" y="143"/>
                    </a:lnTo>
                    <a:lnTo>
                      <a:pt x="491" y="134"/>
                    </a:lnTo>
                    <a:lnTo>
                      <a:pt x="491" y="134"/>
                    </a:lnTo>
                    <a:lnTo>
                      <a:pt x="482" y="134"/>
                    </a:lnTo>
                    <a:lnTo>
                      <a:pt x="482" y="134"/>
                    </a:lnTo>
                    <a:lnTo>
                      <a:pt x="482" y="125"/>
                    </a:lnTo>
                    <a:lnTo>
                      <a:pt x="482" y="125"/>
                    </a:lnTo>
                    <a:lnTo>
                      <a:pt x="482" y="125"/>
                    </a:lnTo>
                    <a:lnTo>
                      <a:pt x="482" y="125"/>
                    </a:lnTo>
                    <a:lnTo>
                      <a:pt x="482" y="125"/>
                    </a:lnTo>
                    <a:lnTo>
                      <a:pt x="482" y="117"/>
                    </a:lnTo>
                    <a:lnTo>
                      <a:pt x="482" y="117"/>
                    </a:lnTo>
                    <a:lnTo>
                      <a:pt x="473" y="117"/>
                    </a:lnTo>
                    <a:lnTo>
                      <a:pt x="473" y="117"/>
                    </a:lnTo>
                    <a:lnTo>
                      <a:pt x="473" y="117"/>
                    </a:lnTo>
                    <a:lnTo>
                      <a:pt x="473" y="108"/>
                    </a:lnTo>
                    <a:lnTo>
                      <a:pt x="473" y="108"/>
                    </a:lnTo>
                    <a:lnTo>
                      <a:pt x="473" y="108"/>
                    </a:lnTo>
                    <a:lnTo>
                      <a:pt x="464" y="108"/>
                    </a:lnTo>
                    <a:lnTo>
                      <a:pt x="464" y="99"/>
                    </a:lnTo>
                    <a:lnTo>
                      <a:pt x="464" y="99"/>
                    </a:lnTo>
                    <a:lnTo>
                      <a:pt x="464" y="99"/>
                    </a:lnTo>
                    <a:lnTo>
                      <a:pt x="464" y="99"/>
                    </a:lnTo>
                    <a:lnTo>
                      <a:pt x="464" y="90"/>
                    </a:lnTo>
                    <a:lnTo>
                      <a:pt x="464" y="90"/>
                    </a:lnTo>
                    <a:lnTo>
                      <a:pt x="464" y="90"/>
                    </a:lnTo>
                    <a:lnTo>
                      <a:pt x="464" y="90"/>
                    </a:lnTo>
                    <a:lnTo>
                      <a:pt x="464" y="81"/>
                    </a:lnTo>
                    <a:lnTo>
                      <a:pt x="473" y="81"/>
                    </a:lnTo>
                    <a:lnTo>
                      <a:pt x="473" y="81"/>
                    </a:lnTo>
                    <a:lnTo>
                      <a:pt x="473" y="72"/>
                    </a:lnTo>
                    <a:lnTo>
                      <a:pt x="473" y="72"/>
                    </a:lnTo>
                    <a:lnTo>
                      <a:pt x="473" y="72"/>
                    </a:lnTo>
                    <a:lnTo>
                      <a:pt x="473" y="63"/>
                    </a:lnTo>
                    <a:lnTo>
                      <a:pt x="473" y="63"/>
                    </a:lnTo>
                    <a:lnTo>
                      <a:pt x="473" y="63"/>
                    </a:lnTo>
                    <a:lnTo>
                      <a:pt x="473" y="63"/>
                    </a:lnTo>
                    <a:lnTo>
                      <a:pt x="482" y="63"/>
                    </a:lnTo>
                    <a:lnTo>
                      <a:pt x="482" y="63"/>
                    </a:lnTo>
                    <a:lnTo>
                      <a:pt x="482" y="63"/>
                    </a:lnTo>
                    <a:lnTo>
                      <a:pt x="482" y="63"/>
                    </a:lnTo>
                    <a:lnTo>
                      <a:pt x="491" y="63"/>
                    </a:lnTo>
                    <a:lnTo>
                      <a:pt x="491" y="63"/>
                    </a:lnTo>
                    <a:lnTo>
                      <a:pt x="491" y="63"/>
                    </a:lnTo>
                    <a:lnTo>
                      <a:pt x="500" y="63"/>
                    </a:lnTo>
                    <a:lnTo>
                      <a:pt x="500" y="63"/>
                    </a:lnTo>
                    <a:lnTo>
                      <a:pt x="500" y="63"/>
                    </a:lnTo>
                    <a:lnTo>
                      <a:pt x="500" y="63"/>
                    </a:lnTo>
                    <a:lnTo>
                      <a:pt x="500" y="63"/>
                    </a:lnTo>
                    <a:lnTo>
                      <a:pt x="509" y="63"/>
                    </a:lnTo>
                    <a:lnTo>
                      <a:pt x="509" y="63"/>
                    </a:lnTo>
                    <a:lnTo>
                      <a:pt x="509" y="63"/>
                    </a:lnTo>
                    <a:lnTo>
                      <a:pt x="509" y="63"/>
                    </a:lnTo>
                    <a:lnTo>
                      <a:pt x="509" y="63"/>
                    </a:lnTo>
                    <a:lnTo>
                      <a:pt x="518" y="63"/>
                    </a:lnTo>
                    <a:lnTo>
                      <a:pt x="518" y="54"/>
                    </a:lnTo>
                    <a:lnTo>
                      <a:pt x="518" y="54"/>
                    </a:lnTo>
                    <a:lnTo>
                      <a:pt x="518" y="54"/>
                    </a:lnTo>
                    <a:lnTo>
                      <a:pt x="518" y="54"/>
                    </a:lnTo>
                    <a:lnTo>
                      <a:pt x="518" y="54"/>
                    </a:lnTo>
                    <a:lnTo>
                      <a:pt x="527" y="54"/>
                    </a:lnTo>
                    <a:lnTo>
                      <a:pt x="527" y="54"/>
                    </a:lnTo>
                    <a:lnTo>
                      <a:pt x="527" y="54"/>
                    </a:lnTo>
                    <a:lnTo>
                      <a:pt x="527" y="54"/>
                    </a:lnTo>
                    <a:lnTo>
                      <a:pt x="527" y="45"/>
                    </a:lnTo>
                    <a:lnTo>
                      <a:pt x="527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36"/>
                    </a:lnTo>
                    <a:lnTo>
                      <a:pt x="536" y="36"/>
                    </a:lnTo>
                    <a:lnTo>
                      <a:pt x="536" y="36"/>
                    </a:lnTo>
                    <a:lnTo>
                      <a:pt x="536" y="36"/>
                    </a:lnTo>
                    <a:lnTo>
                      <a:pt x="536" y="27"/>
                    </a:lnTo>
                    <a:lnTo>
                      <a:pt x="536" y="27"/>
                    </a:lnTo>
                    <a:lnTo>
                      <a:pt x="536" y="27"/>
                    </a:lnTo>
                    <a:lnTo>
                      <a:pt x="536" y="27"/>
                    </a:lnTo>
                    <a:lnTo>
                      <a:pt x="536" y="18"/>
                    </a:lnTo>
                    <a:lnTo>
                      <a:pt x="536" y="18"/>
                    </a:lnTo>
                    <a:lnTo>
                      <a:pt x="536" y="18"/>
                    </a:lnTo>
                    <a:lnTo>
                      <a:pt x="536" y="18"/>
                    </a:lnTo>
                    <a:lnTo>
                      <a:pt x="536" y="18"/>
                    </a:lnTo>
                    <a:lnTo>
                      <a:pt x="536" y="18"/>
                    </a:lnTo>
                    <a:lnTo>
                      <a:pt x="536" y="9"/>
                    </a:lnTo>
                    <a:lnTo>
                      <a:pt x="536" y="9"/>
                    </a:lnTo>
                    <a:lnTo>
                      <a:pt x="545" y="9"/>
                    </a:lnTo>
                    <a:lnTo>
                      <a:pt x="545" y="9"/>
                    </a:lnTo>
                    <a:lnTo>
                      <a:pt x="545" y="9"/>
                    </a:lnTo>
                    <a:lnTo>
                      <a:pt x="545" y="0"/>
                    </a:lnTo>
                    <a:lnTo>
                      <a:pt x="545" y="0"/>
                    </a:lnTo>
                    <a:lnTo>
                      <a:pt x="545" y="0"/>
                    </a:lnTo>
                    <a:lnTo>
                      <a:pt x="554" y="0"/>
                    </a:lnTo>
                    <a:lnTo>
                      <a:pt x="563" y="9"/>
                    </a:lnTo>
                    <a:lnTo>
                      <a:pt x="572" y="9"/>
                    </a:lnTo>
                    <a:lnTo>
                      <a:pt x="580" y="9"/>
                    </a:lnTo>
                    <a:lnTo>
                      <a:pt x="580" y="18"/>
                    </a:lnTo>
                    <a:lnTo>
                      <a:pt x="589" y="18"/>
                    </a:lnTo>
                    <a:lnTo>
                      <a:pt x="598" y="18"/>
                    </a:lnTo>
                    <a:lnTo>
                      <a:pt x="607" y="18"/>
                    </a:lnTo>
                    <a:lnTo>
                      <a:pt x="616" y="27"/>
                    </a:lnTo>
                    <a:lnTo>
                      <a:pt x="625" y="27"/>
                    </a:lnTo>
                    <a:lnTo>
                      <a:pt x="625" y="27"/>
                    </a:lnTo>
                    <a:lnTo>
                      <a:pt x="634" y="27"/>
                    </a:lnTo>
                    <a:lnTo>
                      <a:pt x="643" y="27"/>
                    </a:lnTo>
                    <a:lnTo>
                      <a:pt x="652" y="27"/>
                    </a:lnTo>
                    <a:lnTo>
                      <a:pt x="652" y="27"/>
                    </a:lnTo>
                    <a:lnTo>
                      <a:pt x="661" y="27"/>
                    </a:lnTo>
                    <a:lnTo>
                      <a:pt x="670" y="27"/>
                    </a:lnTo>
                    <a:lnTo>
                      <a:pt x="670" y="27"/>
                    </a:lnTo>
                    <a:lnTo>
                      <a:pt x="679" y="18"/>
                    </a:lnTo>
                    <a:lnTo>
                      <a:pt x="679" y="18"/>
                    </a:lnTo>
                    <a:lnTo>
                      <a:pt x="679" y="9"/>
                    </a:lnTo>
                    <a:lnTo>
                      <a:pt x="688" y="9"/>
                    </a:lnTo>
                    <a:lnTo>
                      <a:pt x="688" y="9"/>
                    </a:lnTo>
                    <a:lnTo>
                      <a:pt x="697" y="9"/>
                    </a:lnTo>
                    <a:lnTo>
                      <a:pt x="697" y="0"/>
                    </a:lnTo>
                    <a:lnTo>
                      <a:pt x="706" y="0"/>
                    </a:lnTo>
                    <a:lnTo>
                      <a:pt x="714" y="0"/>
                    </a:lnTo>
                    <a:lnTo>
                      <a:pt x="714" y="0"/>
                    </a:lnTo>
                    <a:lnTo>
                      <a:pt x="723" y="0"/>
                    </a:lnTo>
                    <a:lnTo>
                      <a:pt x="732" y="0"/>
                    </a:lnTo>
                    <a:lnTo>
                      <a:pt x="732" y="0"/>
                    </a:lnTo>
                    <a:lnTo>
                      <a:pt x="741" y="9"/>
                    </a:lnTo>
                    <a:lnTo>
                      <a:pt x="750" y="9"/>
                    </a:lnTo>
                    <a:lnTo>
                      <a:pt x="750" y="9"/>
                    </a:lnTo>
                    <a:lnTo>
                      <a:pt x="750" y="9"/>
                    </a:lnTo>
                    <a:lnTo>
                      <a:pt x="759" y="9"/>
                    </a:lnTo>
                    <a:lnTo>
                      <a:pt x="759" y="18"/>
                    </a:lnTo>
                    <a:lnTo>
                      <a:pt x="759" y="18"/>
                    </a:lnTo>
                    <a:lnTo>
                      <a:pt x="768" y="18"/>
                    </a:lnTo>
                    <a:lnTo>
                      <a:pt x="777" y="18"/>
                    </a:lnTo>
                    <a:lnTo>
                      <a:pt x="777" y="18"/>
                    </a:lnTo>
                    <a:lnTo>
                      <a:pt x="786" y="18"/>
                    </a:lnTo>
                    <a:lnTo>
                      <a:pt x="795" y="18"/>
                    </a:lnTo>
                    <a:lnTo>
                      <a:pt x="804" y="18"/>
                    </a:lnTo>
                    <a:lnTo>
                      <a:pt x="813" y="18"/>
                    </a:lnTo>
                    <a:lnTo>
                      <a:pt x="822" y="18"/>
                    </a:lnTo>
                    <a:lnTo>
                      <a:pt x="822" y="18"/>
                    </a:lnTo>
                    <a:lnTo>
                      <a:pt x="831" y="18"/>
                    </a:lnTo>
                    <a:lnTo>
                      <a:pt x="831" y="36"/>
                    </a:lnTo>
                    <a:lnTo>
                      <a:pt x="831" y="54"/>
                    </a:lnTo>
                    <a:lnTo>
                      <a:pt x="822" y="63"/>
                    </a:lnTo>
                    <a:lnTo>
                      <a:pt x="804" y="63"/>
                    </a:lnTo>
                    <a:lnTo>
                      <a:pt x="804" y="81"/>
                    </a:lnTo>
                    <a:lnTo>
                      <a:pt x="804" y="108"/>
                    </a:lnTo>
                    <a:lnTo>
                      <a:pt x="795" y="117"/>
                    </a:lnTo>
                    <a:lnTo>
                      <a:pt x="795" y="134"/>
                    </a:lnTo>
                    <a:lnTo>
                      <a:pt x="795" y="143"/>
                    </a:lnTo>
                    <a:lnTo>
                      <a:pt x="786" y="152"/>
                    </a:lnTo>
                    <a:lnTo>
                      <a:pt x="786" y="170"/>
                    </a:lnTo>
                    <a:lnTo>
                      <a:pt x="786" y="188"/>
                    </a:lnTo>
                    <a:lnTo>
                      <a:pt x="768" y="188"/>
                    </a:lnTo>
                    <a:lnTo>
                      <a:pt x="750" y="188"/>
                    </a:lnTo>
                    <a:lnTo>
                      <a:pt x="732" y="179"/>
                    </a:lnTo>
                    <a:lnTo>
                      <a:pt x="706" y="179"/>
                    </a:lnTo>
                    <a:lnTo>
                      <a:pt x="688" y="179"/>
                    </a:lnTo>
                    <a:lnTo>
                      <a:pt x="679" y="188"/>
                    </a:lnTo>
                    <a:lnTo>
                      <a:pt x="670" y="197"/>
                    </a:lnTo>
                    <a:lnTo>
                      <a:pt x="670" y="215"/>
                    </a:lnTo>
                    <a:lnTo>
                      <a:pt x="679" y="233"/>
                    </a:lnTo>
                    <a:lnTo>
                      <a:pt x="697" y="224"/>
                    </a:lnTo>
                    <a:lnTo>
                      <a:pt x="697" y="233"/>
                    </a:lnTo>
                    <a:lnTo>
                      <a:pt x="714" y="233"/>
                    </a:lnTo>
                    <a:lnTo>
                      <a:pt x="723" y="251"/>
                    </a:lnTo>
                    <a:lnTo>
                      <a:pt x="732" y="259"/>
                    </a:lnTo>
                    <a:lnTo>
                      <a:pt x="723" y="268"/>
                    </a:lnTo>
                    <a:lnTo>
                      <a:pt x="714" y="268"/>
                    </a:lnTo>
                    <a:lnTo>
                      <a:pt x="706" y="286"/>
                    </a:lnTo>
                    <a:lnTo>
                      <a:pt x="706" y="313"/>
                    </a:lnTo>
                    <a:lnTo>
                      <a:pt x="679" y="313"/>
                    </a:lnTo>
                    <a:lnTo>
                      <a:pt x="670" y="322"/>
                    </a:lnTo>
                    <a:lnTo>
                      <a:pt x="652" y="313"/>
                    </a:lnTo>
                    <a:lnTo>
                      <a:pt x="643" y="322"/>
                    </a:lnTo>
                    <a:lnTo>
                      <a:pt x="625" y="331"/>
                    </a:lnTo>
                    <a:lnTo>
                      <a:pt x="607" y="340"/>
                    </a:lnTo>
                    <a:lnTo>
                      <a:pt x="589" y="349"/>
                    </a:lnTo>
                    <a:lnTo>
                      <a:pt x="572" y="340"/>
                    </a:lnTo>
                    <a:lnTo>
                      <a:pt x="554" y="349"/>
                    </a:lnTo>
                    <a:lnTo>
                      <a:pt x="545" y="358"/>
                    </a:lnTo>
                    <a:lnTo>
                      <a:pt x="518" y="358"/>
                    </a:lnTo>
                    <a:lnTo>
                      <a:pt x="491" y="358"/>
                    </a:lnTo>
                    <a:lnTo>
                      <a:pt x="491" y="367"/>
                    </a:lnTo>
                    <a:lnTo>
                      <a:pt x="491" y="393"/>
                    </a:lnTo>
                    <a:lnTo>
                      <a:pt x="491" y="402"/>
                    </a:lnTo>
                    <a:lnTo>
                      <a:pt x="500" y="411"/>
                    </a:lnTo>
                    <a:lnTo>
                      <a:pt x="509" y="429"/>
                    </a:lnTo>
                    <a:lnTo>
                      <a:pt x="518" y="447"/>
                    </a:lnTo>
                    <a:lnTo>
                      <a:pt x="509" y="474"/>
                    </a:lnTo>
                    <a:lnTo>
                      <a:pt x="500" y="509"/>
                    </a:lnTo>
                    <a:lnTo>
                      <a:pt x="491" y="527"/>
                    </a:lnTo>
                    <a:lnTo>
                      <a:pt x="491" y="536"/>
                    </a:lnTo>
                    <a:lnTo>
                      <a:pt x="473" y="545"/>
                    </a:lnTo>
                    <a:lnTo>
                      <a:pt x="455" y="554"/>
                    </a:lnTo>
                    <a:lnTo>
                      <a:pt x="446" y="563"/>
                    </a:lnTo>
                    <a:lnTo>
                      <a:pt x="446" y="581"/>
                    </a:lnTo>
                    <a:lnTo>
                      <a:pt x="446" y="599"/>
                    </a:lnTo>
                    <a:lnTo>
                      <a:pt x="464" y="599"/>
                    </a:lnTo>
                    <a:lnTo>
                      <a:pt x="464" y="608"/>
                    </a:lnTo>
                    <a:lnTo>
                      <a:pt x="464" y="634"/>
                    </a:lnTo>
                    <a:lnTo>
                      <a:pt x="446" y="634"/>
                    </a:lnTo>
                    <a:lnTo>
                      <a:pt x="438" y="634"/>
                    </a:lnTo>
                    <a:lnTo>
                      <a:pt x="446" y="652"/>
                    </a:lnTo>
                    <a:lnTo>
                      <a:pt x="455" y="670"/>
                    </a:lnTo>
                    <a:lnTo>
                      <a:pt x="455" y="688"/>
                    </a:lnTo>
                    <a:lnTo>
                      <a:pt x="446" y="688"/>
                    </a:lnTo>
                    <a:lnTo>
                      <a:pt x="420" y="679"/>
                    </a:lnTo>
                    <a:lnTo>
                      <a:pt x="402" y="697"/>
                    </a:lnTo>
                    <a:lnTo>
                      <a:pt x="384" y="688"/>
                    </a:lnTo>
                    <a:lnTo>
                      <a:pt x="366" y="688"/>
                    </a:lnTo>
                    <a:lnTo>
                      <a:pt x="357" y="688"/>
                    </a:lnTo>
                    <a:lnTo>
                      <a:pt x="348" y="697"/>
                    </a:lnTo>
                    <a:lnTo>
                      <a:pt x="348" y="697"/>
                    </a:lnTo>
                    <a:lnTo>
                      <a:pt x="330" y="697"/>
                    </a:lnTo>
                    <a:lnTo>
                      <a:pt x="321" y="706"/>
                    </a:lnTo>
                    <a:lnTo>
                      <a:pt x="321" y="724"/>
                    </a:lnTo>
                    <a:lnTo>
                      <a:pt x="313" y="742"/>
                    </a:lnTo>
                    <a:lnTo>
                      <a:pt x="304" y="751"/>
                    </a:lnTo>
                    <a:lnTo>
                      <a:pt x="286" y="759"/>
                    </a:lnTo>
                    <a:lnTo>
                      <a:pt x="277" y="759"/>
                    </a:lnTo>
                    <a:lnTo>
                      <a:pt x="268" y="777"/>
                    </a:lnTo>
                    <a:lnTo>
                      <a:pt x="268" y="795"/>
                    </a:lnTo>
                    <a:lnTo>
                      <a:pt x="268" y="813"/>
                    </a:lnTo>
                    <a:lnTo>
                      <a:pt x="250" y="813"/>
                    </a:lnTo>
                    <a:lnTo>
                      <a:pt x="223" y="813"/>
                    </a:lnTo>
                    <a:lnTo>
                      <a:pt x="196" y="813"/>
                    </a:lnTo>
                    <a:lnTo>
                      <a:pt x="170" y="813"/>
                    </a:lnTo>
                    <a:lnTo>
                      <a:pt x="143" y="813"/>
                    </a:lnTo>
                    <a:lnTo>
                      <a:pt x="116" y="813"/>
                    </a:lnTo>
                    <a:lnTo>
                      <a:pt x="107" y="822"/>
                    </a:lnTo>
                    <a:lnTo>
                      <a:pt x="107" y="831"/>
                    </a:lnTo>
                    <a:lnTo>
                      <a:pt x="98" y="840"/>
                    </a:lnTo>
                  </a:path>
                </a:pathLst>
              </a:custGeom>
              <a:solidFill>
                <a:schemeClr val="accent6">
                  <a:lumMod val="60000"/>
                  <a:lumOff val="40000"/>
                </a:schemeClr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</xdr:grpSp>
        <xdr:sp macro="" textlink="">
          <xdr:nvSpPr>
            <xdr:cNvPr id="4" name="Text Box 35">
              <a:extLst>
                <a:ext uri="{FF2B5EF4-FFF2-40B4-BE49-F238E27FC236}">
                  <a16:creationId xmlns:a16="http://schemas.microsoft.com/office/drawing/2014/main" id="{00000000-0008-0000-0C00-00000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26" y="9177"/>
              <a:ext cx="1015" cy="57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BRZOZÓW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91,3 proc.</a:t>
              </a:r>
            </a:p>
          </xdr:txBody>
        </xdr:sp>
        <xdr:sp macro="" textlink="">
          <xdr:nvSpPr>
            <xdr:cNvPr id="5" name="Text Box 41">
              <a:extLst>
                <a:ext uri="{FF2B5EF4-FFF2-40B4-BE49-F238E27FC236}">
                  <a16:creationId xmlns:a16="http://schemas.microsoft.com/office/drawing/2014/main" id="{00000000-0008-0000-0C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432" y="6552"/>
              <a:ext cx="863" cy="57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LEŻJSK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86,8 proc.</a:t>
              </a:r>
            </a:p>
          </xdr:txBody>
        </xdr:sp>
        <xdr:sp macro="" textlink="">
          <xdr:nvSpPr>
            <xdr:cNvPr id="6" name="Text Box 43">
              <a:extLst>
                <a:ext uri="{FF2B5EF4-FFF2-40B4-BE49-F238E27FC236}">
                  <a16:creationId xmlns:a16="http://schemas.microsoft.com/office/drawing/2014/main" id="{00000000-0008-0000-0C00-00000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18" y="7237"/>
              <a:ext cx="985" cy="57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ŁAŃCUT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86,7 proc.</a:t>
              </a:r>
            </a:p>
          </xdr:txBody>
        </xdr:sp>
        <xdr:sp macro="" textlink="">
          <xdr:nvSpPr>
            <xdr:cNvPr id="7" name="Text Box 38">
              <a:extLst>
                <a:ext uri="{FF2B5EF4-FFF2-40B4-BE49-F238E27FC236}">
                  <a16:creationId xmlns:a16="http://schemas.microsoft.com/office/drawing/2014/main" id="{00000000-0008-0000-0C00-00000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84" y="4661"/>
              <a:ext cx="1087" cy="7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tx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STALOWA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tx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WOLA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tx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84,4 proc.</a:t>
              </a:r>
            </a:p>
          </xdr:txBody>
        </xdr:sp>
        <xdr:sp macro="" textlink="">
          <xdr:nvSpPr>
            <xdr:cNvPr id="8" name="Text Box 39">
              <a:extLst>
                <a:ext uri="{FF2B5EF4-FFF2-40B4-BE49-F238E27FC236}">
                  <a16:creationId xmlns:a16="http://schemas.microsoft.com/office/drawing/2014/main" id="{00000000-0008-0000-0C00-00000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455" y="5471"/>
              <a:ext cx="1387" cy="4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TARNOBRZEG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90,3 proc.</a:t>
              </a:r>
            </a:p>
          </xdr:txBody>
        </xdr:sp>
        <xdr:sp macro="" textlink="">
          <xdr:nvSpPr>
            <xdr:cNvPr id="9" name="Text Box 40">
              <a:extLst>
                <a:ext uri="{FF2B5EF4-FFF2-40B4-BE49-F238E27FC236}">
                  <a16:creationId xmlns:a16="http://schemas.microsoft.com/office/drawing/2014/main" id="{00000000-0008-0000-0C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57" y="5699"/>
              <a:ext cx="902" cy="5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rgbClr val="000000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 NISKO</a:t>
              </a:r>
              <a:endParaRPr lang="pl-PL" sz="900" b="0">
                <a:effectLst/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endParaRP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rgbClr val="000000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  79,2 proc.</a:t>
              </a:r>
              <a:endParaRPr lang="pl-PL" sz="900" b="0">
                <a:effectLst/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0" name="Text Box 42">
              <a:extLst>
                <a:ext uri="{FF2B5EF4-FFF2-40B4-BE49-F238E27FC236}">
                  <a16:creationId xmlns:a16="http://schemas.microsoft.com/office/drawing/2014/main" id="{00000000-0008-0000-0C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302" y="6844"/>
              <a:ext cx="1332" cy="57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Times New Roman"/>
                  <a:cs typeface="Times New Roman" panose="02020603050405020304" pitchFamily="18" charset="0"/>
                </a:rPr>
                <a:t>LUBACZÓW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Times New Roman"/>
                  <a:cs typeface="Times New Roman" panose="02020603050405020304" pitchFamily="18" charset="0"/>
                </a:rPr>
                <a:t>89,3 proc.</a:t>
              </a:r>
            </a:p>
          </xdr:txBody>
        </xdr:sp>
        <xdr:sp macro="" textlink="">
          <xdr:nvSpPr>
            <xdr:cNvPr id="11" name="Text Box 44">
              <a:extLst>
                <a:ext uri="{FF2B5EF4-FFF2-40B4-BE49-F238E27FC236}">
                  <a16:creationId xmlns:a16="http://schemas.microsoft.com/office/drawing/2014/main" id="{00000000-0008-0000-0C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281" y="7768"/>
              <a:ext cx="1135" cy="57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PRZEWORSK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     82,1 proc.</a:t>
              </a:r>
            </a:p>
          </xdr:txBody>
        </xdr:sp>
        <xdr:sp macro="" textlink="">
          <xdr:nvSpPr>
            <xdr:cNvPr id="12" name="Text Box 27">
              <a:extLst>
                <a:ext uri="{FF2B5EF4-FFF2-40B4-BE49-F238E27FC236}">
                  <a16:creationId xmlns:a16="http://schemas.microsoft.com/office/drawing/2014/main" id="{00000000-0008-0000-0C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89" y="6501"/>
              <a:ext cx="956" cy="5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>
                <a:lnSpc>
                  <a:spcPct val="115000"/>
                </a:lnSpc>
                <a:spcAft>
                  <a:spcPts val="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MIELEC</a:t>
              </a: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88,0 proc.</a:t>
              </a:r>
            </a:p>
          </xdr:txBody>
        </xdr:sp>
        <xdr:sp macro="" textlink="">
          <xdr:nvSpPr>
            <xdr:cNvPr id="13" name="Text Box 28">
              <a:extLst>
                <a:ext uri="{FF2B5EF4-FFF2-40B4-BE49-F238E27FC236}">
                  <a16:creationId xmlns:a16="http://schemas.microsoft.com/office/drawing/2014/main" id="{00000000-0008-0000-0C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52" y="6605"/>
              <a:ext cx="1256" cy="48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KOLBUSZOWA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 92,2 proc.</a:t>
              </a:r>
            </a:p>
          </xdr:txBody>
        </xdr:sp>
        <xdr:sp macro="" textlink="">
          <xdr:nvSpPr>
            <xdr:cNvPr id="14" name="Text Box 30">
              <a:extLst>
                <a:ext uri="{FF2B5EF4-FFF2-40B4-BE49-F238E27FC236}">
                  <a16:creationId xmlns:a16="http://schemas.microsoft.com/office/drawing/2014/main" id="{00000000-0008-0000-0C00-00000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080" y="7708"/>
              <a:ext cx="1050" cy="54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rgbClr val="000000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ROPCZYCE</a:t>
              </a:r>
              <a:endParaRPr lang="pl-PL" sz="900" b="0">
                <a:effectLst/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endParaRP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rgbClr val="000000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  83,9 proc.</a:t>
              </a:r>
              <a:endParaRPr lang="pl-PL" sz="900" b="0">
                <a:effectLst/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5" name="Text Box 29">
              <a:extLst>
                <a:ext uri="{FF2B5EF4-FFF2-40B4-BE49-F238E27FC236}">
                  <a16:creationId xmlns:a16="http://schemas.microsoft.com/office/drawing/2014/main" id="{00000000-0008-0000-0C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24" y="7795"/>
              <a:ext cx="841" cy="46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DĘBICA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90,1 proc</a:t>
              </a: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.</a:t>
              </a:r>
            </a:p>
          </xdr:txBody>
        </xdr:sp>
        <xdr:sp macro="" textlink="">
          <xdr:nvSpPr>
            <xdr:cNvPr id="16" name="Text Box 31">
              <a:extLst>
                <a:ext uri="{FF2B5EF4-FFF2-40B4-BE49-F238E27FC236}">
                  <a16:creationId xmlns:a16="http://schemas.microsoft.com/office/drawing/2014/main" id="{00000000-0008-0000-0C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343" y="8555"/>
              <a:ext cx="1151" cy="45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rgbClr val="000000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STRZYŻÓW</a:t>
              </a:r>
              <a:endParaRPr lang="pl-PL" sz="900" b="0">
                <a:effectLst/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endParaRP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rgbClr val="000000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     89,8 proc.</a:t>
              </a:r>
              <a:endParaRPr lang="pl-PL" sz="900" b="0">
                <a:effectLst/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7" name="Text Box 32">
              <a:extLst>
                <a:ext uri="{FF2B5EF4-FFF2-40B4-BE49-F238E27FC236}">
                  <a16:creationId xmlns:a16="http://schemas.microsoft.com/office/drawing/2014/main" id="{00000000-0008-0000-0C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607" y="9195"/>
              <a:ext cx="843" cy="4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JASŁO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87,5 proc.</a:t>
              </a:r>
            </a:p>
          </xdr:txBody>
        </xdr:sp>
        <xdr:sp macro="" textlink="">
          <xdr:nvSpPr>
            <xdr:cNvPr id="18" name="Text Box 36">
              <a:extLst>
                <a:ext uri="{FF2B5EF4-FFF2-40B4-BE49-F238E27FC236}">
                  <a16:creationId xmlns:a16="http://schemas.microsoft.com/office/drawing/2014/main" id="{00000000-0008-0000-0C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76" y="11257"/>
              <a:ext cx="1008" cy="57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1000" b="0">
                  <a:solidFill>
                    <a:schemeClr val="tx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LESKO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1000" b="0">
                  <a:solidFill>
                    <a:schemeClr val="tx1"/>
                  </a:solidFill>
                  <a:effectLst/>
                  <a:latin typeface="Cambria"/>
                  <a:ea typeface="Calibri"/>
                  <a:cs typeface="Arial"/>
                </a:rPr>
                <a:t>85,5 proc.</a:t>
              </a:r>
              <a:endParaRPr lang="pl-PL" sz="1000" b="0">
                <a:solidFill>
                  <a:schemeClr val="tx1"/>
                </a:solidFill>
                <a:effectLst/>
                <a:latin typeface="Calibri"/>
                <a:ea typeface="Calibri"/>
                <a:cs typeface="Times New Roman"/>
              </a:endParaRPr>
            </a:p>
          </xdr:txBody>
        </xdr:sp>
        <xdr:sp macro="" textlink="">
          <xdr:nvSpPr>
            <xdr:cNvPr id="19" name="Text Box 37">
              <a:extLst>
                <a:ext uri="{FF2B5EF4-FFF2-40B4-BE49-F238E27FC236}">
                  <a16:creationId xmlns:a16="http://schemas.microsoft.com/office/drawing/2014/main" id="{00000000-0008-0000-0C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533" y="10145"/>
              <a:ext cx="825" cy="57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SANOK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86,4 proc.</a:t>
              </a:r>
            </a:p>
          </xdr:txBody>
        </xdr:sp>
        <xdr:sp macro="" textlink="">
          <xdr:nvSpPr>
            <xdr:cNvPr id="20" name="Text Box 75">
              <a:extLst>
                <a:ext uri="{FF2B5EF4-FFF2-40B4-BE49-F238E27FC236}">
                  <a16:creationId xmlns:a16="http://schemas.microsoft.com/office/drawing/2014/main" id="{00000000-0008-0000-0C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428" y="9926"/>
              <a:ext cx="871" cy="4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KROSNO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85,0 proc.</a:t>
              </a:r>
            </a:p>
          </xdr:txBody>
        </xdr:sp>
        <xdr:sp macro="" textlink="">
          <xdr:nvSpPr>
            <xdr:cNvPr id="21" name="Text Box 25">
              <a:extLst>
                <a:ext uri="{FF2B5EF4-FFF2-40B4-BE49-F238E27FC236}">
                  <a16:creationId xmlns:a16="http://schemas.microsoft.com/office/drawing/2014/main" id="{00000000-0008-0000-0C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375" y="7768"/>
              <a:ext cx="1260" cy="57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JAROSŁAW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93,0 proc.</a:t>
              </a:r>
            </a:p>
          </xdr:txBody>
        </xdr:sp>
        <xdr:sp macro="" textlink="">
          <xdr:nvSpPr>
            <xdr:cNvPr id="22" name="Text Box 34">
              <a:extLst>
                <a:ext uri="{FF2B5EF4-FFF2-40B4-BE49-F238E27FC236}">
                  <a16:creationId xmlns:a16="http://schemas.microsoft.com/office/drawing/2014/main" id="{00000000-0008-0000-0C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660" y="10792"/>
              <a:ext cx="1319" cy="7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USTRZYKI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DOLNE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      89,6 proc.</a:t>
              </a:r>
            </a:p>
          </xdr:txBody>
        </xdr:sp>
        <xdr:sp macro="" textlink="">
          <xdr:nvSpPr>
            <xdr:cNvPr id="23" name="Text Box 76">
              <a:extLst>
                <a:ext uri="{FF2B5EF4-FFF2-40B4-BE49-F238E27FC236}">
                  <a16:creationId xmlns:a16="http://schemas.microsoft.com/office/drawing/2014/main" id="{00000000-0008-0000-0C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79" y="7529"/>
              <a:ext cx="976" cy="50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rgbClr val="000000"/>
                  </a:solidFill>
                  <a:effectLst/>
                  <a:latin typeface="Times New Roman" panose="02020603050405020304" pitchFamily="18" charset="0"/>
                  <a:ea typeface="Times New Roman"/>
                  <a:cs typeface="Times New Roman" panose="02020603050405020304" pitchFamily="18" charset="0"/>
                </a:rPr>
                <a:t>RZESZÓW</a:t>
              </a:r>
            </a:p>
            <a:p>
              <a:pPr algn="l">
                <a:lnSpc>
                  <a:spcPct val="100000"/>
                </a:lnSpc>
                <a:spcAft>
                  <a:spcPts val="100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80,9 proc.</a:t>
              </a:r>
            </a:p>
          </xdr:txBody>
        </xdr:sp>
        <xdr:sp macro="" textlink="">
          <xdr:nvSpPr>
            <xdr:cNvPr id="24" name="Text Box 77">
              <a:extLst>
                <a:ext uri="{FF2B5EF4-FFF2-40B4-BE49-F238E27FC236}">
                  <a16:creationId xmlns:a16="http://schemas.microsoft.com/office/drawing/2014/main" id="{00000000-0008-0000-0C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673" y="9032"/>
              <a:ext cx="1039" cy="45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PRZEMYŚL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87,8 proc.</a:t>
              </a:r>
            </a:p>
          </xdr:txBody>
        </xdr:sp>
      </xdr:grpSp>
      <xdr:grpSp>
        <xdr:nvGrpSpPr>
          <xdr:cNvPr id="50" name="Group 124">
            <a:extLst>
              <a:ext uri="{FF2B5EF4-FFF2-40B4-BE49-F238E27FC236}">
                <a16:creationId xmlns:a16="http://schemas.microsoft.com/office/drawing/2014/main" id="{00000000-0008-0000-0C00-000032000000}"/>
              </a:ext>
            </a:extLst>
          </xdr:cNvPr>
          <xdr:cNvGrpSpPr>
            <a:grpSpLocks/>
          </xdr:cNvGrpSpPr>
        </xdr:nvGrpSpPr>
        <xdr:grpSpPr bwMode="auto">
          <a:xfrm>
            <a:off x="5038725" y="5657850"/>
            <a:ext cx="2628900" cy="846455"/>
            <a:chOff x="1860" y="12966"/>
            <a:chExt cx="4140" cy="1333"/>
          </a:xfrm>
        </xdr:grpSpPr>
        <xdr:grpSp>
          <xdr:nvGrpSpPr>
            <xdr:cNvPr id="51" name="Group 4">
              <a:extLst>
                <a:ext uri="{FF2B5EF4-FFF2-40B4-BE49-F238E27FC236}">
                  <a16:creationId xmlns:a16="http://schemas.microsoft.com/office/drawing/2014/main" id="{00000000-0008-0000-0C00-00003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151" y="13359"/>
              <a:ext cx="2868" cy="210"/>
              <a:chOff x="1815" y="14424"/>
              <a:chExt cx="2868" cy="210"/>
            </a:xfrm>
          </xdr:grpSpPr>
          <xdr:sp macro="" textlink="">
            <xdr:nvSpPr>
              <xdr:cNvPr id="60" name="Rectangle 5">
                <a:extLst>
                  <a:ext uri="{FF2B5EF4-FFF2-40B4-BE49-F238E27FC236}">
                    <a16:creationId xmlns:a16="http://schemas.microsoft.com/office/drawing/2014/main" id="{00000000-0008-0000-0C00-00003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13" y="14424"/>
                <a:ext cx="570" cy="210"/>
              </a:xfrm>
              <a:prstGeom prst="rect">
                <a:avLst/>
              </a:prstGeom>
              <a:solidFill>
                <a:schemeClr val="accent6">
                  <a:lumMod val="50000"/>
                </a:schemeClr>
              </a:solidFill>
              <a:ln w="3175">
                <a:solidFill>
                  <a:srgbClr val="FFFFFF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61" name="Rectangle 6">
                <a:extLst>
                  <a:ext uri="{FF2B5EF4-FFF2-40B4-BE49-F238E27FC236}">
                    <a16:creationId xmlns:a16="http://schemas.microsoft.com/office/drawing/2014/main" id="{00000000-0008-0000-0C00-00003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37" y="14424"/>
                <a:ext cx="570" cy="210"/>
              </a:xfrm>
              <a:prstGeom prst="rect">
                <a:avLst/>
              </a:prstGeom>
              <a:solidFill>
                <a:schemeClr val="accent6">
                  <a:lumMod val="75000"/>
                </a:schemeClr>
              </a:solidFill>
              <a:ln w="3175">
                <a:solidFill>
                  <a:srgbClr val="FFFFFF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62" name="Rectangle 7">
                <a:extLst>
                  <a:ext uri="{FF2B5EF4-FFF2-40B4-BE49-F238E27FC236}">
                    <a16:creationId xmlns:a16="http://schemas.microsoft.com/office/drawing/2014/main" id="{00000000-0008-0000-0C00-00003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949" y="14424"/>
                <a:ext cx="585" cy="210"/>
              </a:xfrm>
              <a:prstGeom prst="rect">
                <a:avLst/>
              </a:prstGeom>
              <a:solidFill>
                <a:schemeClr val="accent6">
                  <a:lumMod val="60000"/>
                  <a:lumOff val="40000"/>
                </a:schemeClr>
              </a:solidFill>
              <a:ln w="3175">
                <a:solidFill>
                  <a:srgbClr val="FFFFFF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63" name="Rectangle 8">
                <a:extLst>
                  <a:ext uri="{FF2B5EF4-FFF2-40B4-BE49-F238E27FC236}">
                    <a16:creationId xmlns:a16="http://schemas.microsoft.com/office/drawing/2014/main" id="{00000000-0008-0000-0C00-00003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394" y="14424"/>
                <a:ext cx="570" cy="210"/>
              </a:xfrm>
              <a:prstGeom prst="rect">
                <a:avLst/>
              </a:prstGeom>
              <a:solidFill>
                <a:schemeClr val="accent6">
                  <a:lumMod val="40000"/>
                  <a:lumOff val="60000"/>
                </a:schemeClr>
              </a:solidFill>
              <a:ln w="3175">
                <a:solidFill>
                  <a:srgbClr val="EEECE1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64" name="Rectangle 9">
                <a:extLst>
                  <a:ext uri="{FF2B5EF4-FFF2-40B4-BE49-F238E27FC236}">
                    <a16:creationId xmlns:a16="http://schemas.microsoft.com/office/drawing/2014/main" id="{00000000-0008-0000-0C00-00004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815" y="14424"/>
                <a:ext cx="570" cy="210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3175">
                <a:solidFill>
                  <a:srgbClr val="EEECE1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</xdr:grpSp>
        <xdr:grpSp>
          <xdr:nvGrpSpPr>
            <xdr:cNvPr id="52" name="Group 10">
              <a:extLst>
                <a:ext uri="{FF2B5EF4-FFF2-40B4-BE49-F238E27FC236}">
                  <a16:creationId xmlns:a16="http://schemas.microsoft.com/office/drawing/2014/main" id="{00000000-0008-0000-0C00-000034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60" y="12966"/>
              <a:ext cx="4140" cy="1333"/>
              <a:chOff x="1521" y="14031"/>
              <a:chExt cx="4140" cy="1333"/>
            </a:xfrm>
          </xdr:grpSpPr>
          <xdr:sp macro="" textlink="">
            <xdr:nvSpPr>
              <xdr:cNvPr id="53" name="Text Box 11">
                <a:extLst>
                  <a:ext uri="{FF2B5EF4-FFF2-40B4-BE49-F238E27FC236}">
                    <a16:creationId xmlns:a16="http://schemas.microsoft.com/office/drawing/2014/main" id="{00000000-0008-0000-0C00-000035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521" y="14712"/>
                <a:ext cx="1279" cy="6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pl-PL" sz="900">
                    <a:effectLst/>
                    <a:latin typeface="Times New Roman" panose="02020603050405020304" pitchFamily="18" charset="0"/>
                    <a:ea typeface="Times New Roman"/>
                    <a:cs typeface="Times New Roman" panose="02020603050405020304" pitchFamily="18" charset="0"/>
                  </a:rPr>
                  <a:t>70</a:t>
                </a:r>
              </a:p>
            </xdr:txBody>
          </xdr:sp>
          <xdr:sp macro="" textlink="">
            <xdr:nvSpPr>
              <xdr:cNvPr id="54" name="Text Box 12">
                <a:extLst>
                  <a:ext uri="{FF2B5EF4-FFF2-40B4-BE49-F238E27FC236}">
                    <a16:creationId xmlns:a16="http://schemas.microsoft.com/office/drawing/2014/main" id="{00000000-0008-0000-0C00-000036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142" y="14712"/>
                <a:ext cx="585" cy="4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>
                  <a:spcAft>
                    <a:spcPts val="600"/>
                  </a:spcAft>
                </a:pPr>
                <a:r>
                  <a:rPr lang="pl-PL" sz="900">
                    <a:effectLst/>
                    <a:latin typeface="Times New Roman"/>
                    <a:ea typeface="Times New Roman"/>
                  </a:rPr>
                  <a:t>75</a:t>
                </a:r>
              </a:p>
            </xdr:txBody>
          </xdr:sp>
          <xdr:sp macro="" textlink="">
            <xdr:nvSpPr>
              <xdr:cNvPr id="55" name="Text Box 13">
                <a:extLst>
                  <a:ext uri="{FF2B5EF4-FFF2-40B4-BE49-F238E27FC236}">
                    <a16:creationId xmlns:a16="http://schemas.microsoft.com/office/drawing/2014/main" id="{00000000-0008-0000-0C00-000037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673" y="14712"/>
                <a:ext cx="585" cy="4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>
                  <a:spcAft>
                    <a:spcPts val="600"/>
                  </a:spcAft>
                </a:pPr>
                <a:r>
                  <a:rPr lang="pl-PL" sz="900">
                    <a:effectLst/>
                    <a:latin typeface="Times New Roman"/>
                    <a:ea typeface="Times New Roman"/>
                  </a:rPr>
                  <a:t>80</a:t>
                </a:r>
              </a:p>
            </xdr:txBody>
          </xdr:sp>
          <xdr:sp macro="" textlink="">
            <xdr:nvSpPr>
              <xdr:cNvPr id="56" name="Text Box 14">
                <a:extLst>
                  <a:ext uri="{FF2B5EF4-FFF2-40B4-BE49-F238E27FC236}">
                    <a16:creationId xmlns:a16="http://schemas.microsoft.com/office/drawing/2014/main" id="{00000000-0008-0000-0C00-000038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49" y="14712"/>
                <a:ext cx="585" cy="4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pl-PL" sz="900">
                    <a:effectLst/>
                    <a:latin typeface="Times New Roman" panose="02020603050405020304" pitchFamily="18" charset="0"/>
                    <a:ea typeface="Times New Roman"/>
                    <a:cs typeface="Times New Roman" panose="02020603050405020304" pitchFamily="18" charset="0"/>
                  </a:rPr>
                  <a:t>85</a:t>
                </a:r>
              </a:p>
            </xdr:txBody>
          </xdr:sp>
          <xdr:sp macro="" textlink="">
            <xdr:nvSpPr>
              <xdr:cNvPr id="57" name="Text Box 15">
                <a:extLst>
                  <a:ext uri="{FF2B5EF4-FFF2-40B4-BE49-F238E27FC236}">
                    <a16:creationId xmlns:a16="http://schemas.microsoft.com/office/drawing/2014/main" id="{00000000-0008-0000-0C00-000039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816" y="14712"/>
                <a:ext cx="585" cy="4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pl-PL" sz="900">
                    <a:effectLst/>
                    <a:latin typeface="Times New Roman" panose="02020603050405020304" pitchFamily="18" charset="0"/>
                    <a:ea typeface="Times New Roman"/>
                    <a:cs typeface="Times New Roman" panose="02020603050405020304" pitchFamily="18" charset="0"/>
                  </a:rPr>
                  <a:t>90</a:t>
                </a:r>
              </a:p>
            </xdr:txBody>
          </xdr:sp>
          <xdr:sp macro="" textlink="">
            <xdr:nvSpPr>
              <xdr:cNvPr id="58" name="Text Box 16">
                <a:extLst>
                  <a:ext uri="{FF2B5EF4-FFF2-40B4-BE49-F238E27FC236}">
                    <a16:creationId xmlns:a16="http://schemas.microsoft.com/office/drawing/2014/main" id="{00000000-0008-0000-0C00-00003A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392" y="14712"/>
                <a:ext cx="1269" cy="5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pl-PL" sz="900">
                    <a:effectLst/>
                    <a:latin typeface="Times New Roman" panose="02020603050405020304" pitchFamily="18" charset="0"/>
                    <a:ea typeface="Times New Roman"/>
                    <a:cs typeface="Times New Roman" panose="02020603050405020304" pitchFamily="18" charset="0"/>
                  </a:rPr>
                  <a:t>100</a:t>
                </a:r>
              </a:p>
            </xdr:txBody>
          </xdr:sp>
          <xdr:sp macro="" textlink="">
            <xdr:nvSpPr>
              <xdr:cNvPr id="59" name="Text Box 17">
                <a:extLst>
                  <a:ext uri="{FF2B5EF4-FFF2-40B4-BE49-F238E27FC236}">
                    <a16:creationId xmlns:a16="http://schemas.microsoft.com/office/drawing/2014/main" id="{00000000-0008-0000-0C00-00003B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861" y="14031"/>
                <a:ext cx="1178" cy="4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pl-PL" sz="1100">
                    <a:effectLst/>
                    <a:latin typeface="Times New Roman" panose="02020603050405020304" pitchFamily="18" charset="0"/>
                    <a:ea typeface="Times New Roman"/>
                    <a:cs typeface="Times New Roman" panose="02020603050405020304" pitchFamily="18" charset="0"/>
                  </a:rPr>
                  <a:t>w proc.</a:t>
                </a:r>
              </a:p>
            </xdr:txBody>
          </xdr: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80838</xdr:colOff>
      <xdr:row>0</xdr:row>
      <xdr:rowOff>39688</xdr:rowOff>
    </xdr:from>
    <xdr:to>
      <xdr:col>9</xdr:col>
      <xdr:colOff>174625</xdr:colOff>
      <xdr:row>16</xdr:row>
      <xdr:rowOff>111125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105641</xdr:colOff>
      <xdr:row>2</xdr:row>
      <xdr:rowOff>71870</xdr:rowOff>
    </xdr:from>
    <xdr:to>
      <xdr:col>25</xdr:col>
      <xdr:colOff>96116</xdr:colOff>
      <xdr:row>22</xdr:row>
      <xdr:rowOff>90919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209550</xdr:colOff>
      <xdr:row>2</xdr:row>
      <xdr:rowOff>85726</xdr:rowOff>
    </xdr:from>
    <xdr:to>
      <xdr:col>25</xdr:col>
      <xdr:colOff>152400</xdr:colOff>
      <xdr:row>22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4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23329-8D9A-43D7-9B57-CF2D735D38DF}">
  <sheetPr>
    <tabColor rgb="FFFFC000"/>
  </sheetPr>
  <dimension ref="B1:U39"/>
  <sheetViews>
    <sheetView tabSelected="1" zoomScale="90" zoomScaleNormal="90" workbookViewId="0">
      <selection activeCell="B1" sqref="B1"/>
    </sheetView>
  </sheetViews>
  <sheetFormatPr defaultRowHeight="14.25" x14ac:dyDescent="0.2"/>
  <cols>
    <col min="1" max="1" width="1.7109375" style="117" customWidth="1"/>
    <col min="2" max="2" width="5.5703125" style="117" customWidth="1"/>
    <col min="3" max="3" width="62.42578125" style="117" customWidth="1"/>
    <col min="4" max="4" width="10.85546875" style="117" customWidth="1"/>
    <col min="5" max="5" width="10.42578125" style="117" customWidth="1"/>
    <col min="6" max="6" width="10.140625" style="117" customWidth="1"/>
    <col min="7" max="7" width="14.7109375" style="117" customWidth="1"/>
    <col min="8" max="8" width="14.42578125" style="117" customWidth="1"/>
    <col min="9" max="9" width="12.42578125" style="117" customWidth="1"/>
    <col min="10" max="10" width="15.140625" style="117" customWidth="1"/>
    <col min="11" max="11" width="12.7109375" style="117" customWidth="1"/>
    <col min="12" max="12" width="3.28515625" style="117" customWidth="1"/>
    <col min="13" max="13" width="8" style="117" customWidth="1"/>
    <col min="14" max="14" width="7.7109375" style="117" customWidth="1"/>
    <col min="15" max="15" width="3.28515625" style="117" customWidth="1"/>
    <col min="16" max="16" width="10.7109375" style="117" customWidth="1"/>
    <col min="17" max="17" width="10.42578125" style="117" customWidth="1"/>
    <col min="18" max="18" width="14.28515625" style="117" customWidth="1"/>
    <col min="19" max="19" width="9.85546875" style="117" customWidth="1"/>
    <col min="20" max="20" width="8.7109375" style="117" customWidth="1"/>
    <col min="21" max="21" width="9.28515625" style="117" customWidth="1"/>
    <col min="22" max="16384" width="9.140625" style="117"/>
  </cols>
  <sheetData>
    <row r="1" spans="2:21" ht="15" thickBot="1" x14ac:dyDescent="0.25">
      <c r="B1" s="230" t="s">
        <v>351</v>
      </c>
      <c r="D1" s="118"/>
      <c r="E1" s="118"/>
      <c r="F1" s="118"/>
      <c r="G1" s="416" t="s">
        <v>269</v>
      </c>
      <c r="H1" s="572" t="s">
        <v>266</v>
      </c>
      <c r="I1" s="118"/>
      <c r="J1" s="118"/>
      <c r="K1" s="118"/>
    </row>
    <row r="2" spans="2:21" x14ac:dyDescent="0.2">
      <c r="B2" s="315"/>
      <c r="C2" s="610" t="s">
        <v>323</v>
      </c>
      <c r="D2" s="316"/>
      <c r="E2" s="317"/>
      <c r="F2" s="318"/>
      <c r="G2" s="316"/>
      <c r="H2" s="318"/>
      <c r="I2" s="316"/>
      <c r="J2" s="316"/>
      <c r="K2" s="319"/>
    </row>
    <row r="3" spans="2:21" ht="66" customHeight="1" x14ac:dyDescent="0.2">
      <c r="B3" s="320"/>
      <c r="C3" s="611"/>
      <c r="D3" s="321" t="s">
        <v>108</v>
      </c>
      <c r="E3" s="322" t="s">
        <v>109</v>
      </c>
      <c r="F3" s="323" t="s">
        <v>110</v>
      </c>
      <c r="G3" s="324" t="s">
        <v>111</v>
      </c>
      <c r="H3" s="323" t="s">
        <v>239</v>
      </c>
      <c r="I3" s="321" t="s">
        <v>167</v>
      </c>
      <c r="J3" s="325" t="s">
        <v>186</v>
      </c>
      <c r="K3" s="326" t="s">
        <v>185</v>
      </c>
    </row>
    <row r="4" spans="2:21" ht="36" x14ac:dyDescent="0.2">
      <c r="B4" s="327" t="s">
        <v>106</v>
      </c>
      <c r="C4" s="611"/>
      <c r="D4" s="321"/>
      <c r="E4" s="322"/>
      <c r="F4" s="323"/>
      <c r="G4" s="321" t="s">
        <v>238</v>
      </c>
      <c r="H4" s="323" t="s">
        <v>348</v>
      </c>
      <c r="I4" s="321"/>
      <c r="J4" s="328"/>
      <c r="K4" s="323" t="s">
        <v>348</v>
      </c>
    </row>
    <row r="5" spans="2:21" ht="15" thickBot="1" x14ac:dyDescent="0.25">
      <c r="B5" s="329"/>
      <c r="C5" s="612"/>
      <c r="D5" s="330"/>
      <c r="E5" s="331"/>
      <c r="F5" s="332"/>
      <c r="G5" s="330"/>
      <c r="H5" s="332"/>
      <c r="I5" s="330"/>
      <c r="J5" s="330"/>
      <c r="K5" s="333"/>
      <c r="M5" s="157"/>
      <c r="N5" s="157"/>
      <c r="O5" s="158"/>
      <c r="P5" s="157"/>
      <c r="Q5" s="157"/>
      <c r="R5" s="158"/>
      <c r="S5" s="157"/>
      <c r="T5" s="157"/>
      <c r="U5" s="158"/>
    </row>
    <row r="6" spans="2:21" x14ac:dyDescent="0.2">
      <c r="B6" s="131">
        <v>1</v>
      </c>
      <c r="C6" s="132" t="s">
        <v>2</v>
      </c>
      <c r="D6" s="133">
        <f>SUM('z22'!F6)</f>
        <v>1845</v>
      </c>
      <c r="E6" s="134">
        <f>SUM('z22'!G6)</f>
        <v>1501</v>
      </c>
      <c r="F6" s="135">
        <f>SUM('z22'!H6)</f>
        <v>781</v>
      </c>
      <c r="G6" s="136">
        <f t="shared" ref="G6:G12" si="0">SUM(F6/E6)*100</f>
        <v>52.031978680879412</v>
      </c>
      <c r="H6" s="137">
        <f>SUM(J6/F6)</f>
        <v>7250.3362483994897</v>
      </c>
      <c r="I6" s="283">
        <f>SUM('z22'!E6)</f>
        <v>5662.5126100000016</v>
      </c>
      <c r="J6" s="133">
        <f t="shared" ref="J6:J14" si="1">SUM(I6*1000)</f>
        <v>5662512.6100000013</v>
      </c>
      <c r="K6" s="138">
        <f>SUM(J6/D6)</f>
        <v>3069.1125257452582</v>
      </c>
      <c r="M6" s="181"/>
      <c r="N6" s="181"/>
      <c r="O6" s="158"/>
      <c r="P6" s="182"/>
      <c r="Q6" s="157"/>
      <c r="R6" s="157"/>
      <c r="S6" s="159"/>
      <c r="T6" s="159"/>
      <c r="U6" s="159"/>
    </row>
    <row r="7" spans="2:21" x14ac:dyDescent="0.2">
      <c r="B7" s="119">
        <v>2</v>
      </c>
      <c r="C7" s="120" t="s">
        <v>1</v>
      </c>
      <c r="D7" s="121">
        <f>SUM('z22'!F5)</f>
        <v>10657</v>
      </c>
      <c r="E7" s="122">
        <f>SUM('z22'!G5)</f>
        <v>7469</v>
      </c>
      <c r="F7" s="123">
        <f>SUM('z22'!H5)</f>
        <v>6354</v>
      </c>
      <c r="G7" s="124">
        <f t="shared" si="0"/>
        <v>85.071629401526309</v>
      </c>
      <c r="H7" s="125">
        <f>SUM(J7/F7)</f>
        <v>13014.846298394712</v>
      </c>
      <c r="I7" s="284">
        <f>SUM('z22'!E5)</f>
        <v>82696.333379999996</v>
      </c>
      <c r="J7" s="121">
        <f t="shared" si="1"/>
        <v>82696333.379999995</v>
      </c>
      <c r="K7" s="126">
        <f>SUM(J7/D7)</f>
        <v>7759.813585436802</v>
      </c>
      <c r="M7" s="181"/>
      <c r="N7" s="157"/>
      <c r="O7" s="158"/>
      <c r="P7" s="182"/>
      <c r="Q7" s="157"/>
      <c r="R7" s="157"/>
      <c r="S7" s="159"/>
      <c r="T7" s="159"/>
      <c r="U7" s="159"/>
    </row>
    <row r="8" spans="2:21" x14ac:dyDescent="0.2">
      <c r="B8" s="119">
        <v>3</v>
      </c>
      <c r="C8" s="120" t="s">
        <v>3</v>
      </c>
      <c r="D8" s="121">
        <f>SUM('z22'!F7)</f>
        <v>5180</v>
      </c>
      <c r="E8" s="122">
        <f>SUM('z22'!G7)</f>
        <v>3613</v>
      </c>
      <c r="F8" s="123">
        <f>SUM('z22'!H7)</f>
        <v>3373</v>
      </c>
      <c r="G8" s="124">
        <f t="shared" si="0"/>
        <v>93.357320786050366</v>
      </c>
      <c r="H8" s="125">
        <f t="shared" ref="H8:H12" si="2">SUM(J8/F8)</f>
        <v>8721.5238630299427</v>
      </c>
      <c r="I8" s="284">
        <f>SUM('z22'!E7)</f>
        <v>29417.699989999997</v>
      </c>
      <c r="J8" s="121">
        <f t="shared" si="1"/>
        <v>29417699.989999998</v>
      </c>
      <c r="K8" s="126">
        <f t="shared" ref="K8:K14" si="3">SUM(J8/D8)</f>
        <v>5679.092662162162</v>
      </c>
      <c r="M8" s="181"/>
      <c r="N8" s="157"/>
      <c r="O8" s="158"/>
      <c r="P8" s="182"/>
      <c r="Q8" s="157"/>
      <c r="R8" s="157"/>
      <c r="S8" s="159"/>
      <c r="T8" s="159"/>
      <c r="U8" s="159"/>
    </row>
    <row r="9" spans="2:21" x14ac:dyDescent="0.2">
      <c r="B9" s="119">
        <v>4</v>
      </c>
      <c r="C9" s="120" t="s">
        <v>4</v>
      </c>
      <c r="D9" s="121">
        <f>SUM('z22'!F8)</f>
        <v>2172</v>
      </c>
      <c r="E9" s="122">
        <f>SUM('z22'!G8)</f>
        <v>1891</v>
      </c>
      <c r="F9" s="123">
        <f>SUM('z22'!H8)</f>
        <v>1782</v>
      </c>
      <c r="G9" s="124">
        <f t="shared" si="0"/>
        <v>94.23585404547859</v>
      </c>
      <c r="H9" s="125">
        <f>SUM(J9/F9)</f>
        <v>17225.128580246914</v>
      </c>
      <c r="I9" s="284">
        <f>SUM('z22'!E8)</f>
        <v>30695.17913</v>
      </c>
      <c r="J9" s="121">
        <f t="shared" si="1"/>
        <v>30695179.129999999</v>
      </c>
      <c r="K9" s="126">
        <f>SUM(J9/D9)</f>
        <v>14132.218752302026</v>
      </c>
      <c r="M9" s="181"/>
      <c r="N9" s="157"/>
      <c r="O9" s="158"/>
      <c r="P9" s="182"/>
      <c r="Q9" s="157"/>
      <c r="R9" s="157"/>
      <c r="S9" s="159"/>
      <c r="T9" s="159"/>
      <c r="U9" s="159"/>
    </row>
    <row r="10" spans="2:21" x14ac:dyDescent="0.2">
      <c r="B10" s="119">
        <v>5</v>
      </c>
      <c r="C10" s="120" t="s">
        <v>58</v>
      </c>
      <c r="D10" s="121">
        <f>SUM('z22'!F22)</f>
        <v>2383</v>
      </c>
      <c r="E10" s="122">
        <f>SUM('z22'!G22)</f>
        <v>2324</v>
      </c>
      <c r="F10" s="281">
        <f>SUM('z22'!H22)</f>
        <v>2217</v>
      </c>
      <c r="G10" s="124">
        <f t="shared" si="0"/>
        <v>95.395869191049911</v>
      </c>
      <c r="H10" s="125">
        <f t="shared" si="2"/>
        <v>29182.742895805139</v>
      </c>
      <c r="I10" s="284">
        <f>SUM('z22'!E22)</f>
        <v>64698.140999999996</v>
      </c>
      <c r="J10" s="121">
        <f t="shared" si="1"/>
        <v>64698140.999999993</v>
      </c>
      <c r="K10" s="126">
        <f>SUM(J10/D10)</f>
        <v>27149.870331514892</v>
      </c>
      <c r="M10" s="181"/>
      <c r="N10" s="157"/>
      <c r="O10" s="158"/>
      <c r="P10" s="182"/>
      <c r="Q10" s="157"/>
      <c r="R10" s="157"/>
      <c r="S10" s="159"/>
      <c r="T10" s="159"/>
      <c r="U10" s="159"/>
    </row>
    <row r="11" spans="2:21" ht="15" customHeight="1" x14ac:dyDescent="0.2">
      <c r="B11" s="139">
        <v>6</v>
      </c>
      <c r="C11" s="140" t="s">
        <v>59</v>
      </c>
      <c r="D11" s="141">
        <f>SUM('z22'!F24)</f>
        <v>2178</v>
      </c>
      <c r="E11" s="142">
        <f>SUM('z22'!G24)</f>
        <v>1318</v>
      </c>
      <c r="F11" s="282">
        <f>SUM('z22'!H24)</f>
        <v>1190</v>
      </c>
      <c r="G11" s="144">
        <f t="shared" si="0"/>
        <v>90.28831562974203</v>
      </c>
      <c r="H11" s="145">
        <f>SUM(J11/F11)</f>
        <v>53083.715462184882</v>
      </c>
      <c r="I11" s="285">
        <f>SUM('z22'!E24)</f>
        <v>63169.621400000004</v>
      </c>
      <c r="J11" s="141">
        <f t="shared" si="1"/>
        <v>63169621.400000006</v>
      </c>
      <c r="K11" s="146">
        <f>SUM(J11/D11)</f>
        <v>29003.499265381088</v>
      </c>
      <c r="M11" s="181"/>
      <c r="N11" s="157"/>
      <c r="O11" s="158"/>
      <c r="P11" s="182"/>
      <c r="Q11" s="157"/>
      <c r="R11" s="157"/>
      <c r="S11" s="159"/>
      <c r="T11" s="159"/>
      <c r="U11" s="159"/>
    </row>
    <row r="12" spans="2:21" ht="15" customHeight="1" thickBot="1" x14ac:dyDescent="0.25">
      <c r="B12" s="139">
        <v>7</v>
      </c>
      <c r="C12" s="140" t="s">
        <v>11</v>
      </c>
      <c r="D12" s="141">
        <f>SUM('z22'!F17)</f>
        <v>1132</v>
      </c>
      <c r="E12" s="142">
        <f>SUM('z22'!G17)</f>
        <v>1001</v>
      </c>
      <c r="F12" s="282">
        <f>SUM('z22'!H17)</f>
        <v>913</v>
      </c>
      <c r="G12" s="144">
        <f t="shared" si="0"/>
        <v>91.208791208791212</v>
      </c>
      <c r="H12" s="145">
        <f t="shared" si="2"/>
        <v>11216.649255202628</v>
      </c>
      <c r="I12" s="285">
        <f>SUM('z22'!E17)</f>
        <v>10240.80077</v>
      </c>
      <c r="J12" s="141">
        <f t="shared" si="1"/>
        <v>10240800.77</v>
      </c>
      <c r="K12" s="146">
        <f t="shared" si="3"/>
        <v>9046.6437897526503</v>
      </c>
      <c r="M12" s="181"/>
      <c r="N12" s="181"/>
      <c r="O12" s="158"/>
      <c r="P12" s="182"/>
      <c r="Q12" s="157"/>
      <c r="R12" s="157"/>
      <c r="S12" s="159"/>
      <c r="T12" s="159"/>
      <c r="U12" s="159"/>
    </row>
    <row r="13" spans="2:21" ht="15" thickBot="1" x14ac:dyDescent="0.25">
      <c r="B13" s="334">
        <v>8</v>
      </c>
      <c r="C13" s="335" t="s">
        <v>314</v>
      </c>
      <c r="D13" s="336">
        <f>SUM(D6:D11)</f>
        <v>24415</v>
      </c>
      <c r="E13" s="337">
        <f>SUM(E6:E11)</f>
        <v>18116</v>
      </c>
      <c r="F13" s="338">
        <f>SUM(F6:F11)</f>
        <v>15697</v>
      </c>
      <c r="G13" s="339">
        <f t="shared" ref="G13:G14" si="4">SUM(F13/E13)*100</f>
        <v>86.64716272907927</v>
      </c>
      <c r="H13" s="340">
        <f>SUM(J13/F13)</f>
        <v>17604.605179970695</v>
      </c>
      <c r="I13" s="341">
        <f>SUM(I6:I11)</f>
        <v>276339.48751000001</v>
      </c>
      <c r="J13" s="336">
        <f t="shared" si="1"/>
        <v>276339487.50999999</v>
      </c>
      <c r="K13" s="342">
        <f t="shared" si="3"/>
        <v>11318.430780667622</v>
      </c>
      <c r="M13" s="181"/>
      <c r="N13" s="181"/>
      <c r="O13" s="158"/>
      <c r="P13" s="182"/>
      <c r="Q13" s="159"/>
      <c r="R13" s="157"/>
      <c r="S13" s="159"/>
      <c r="T13" s="159"/>
      <c r="U13" s="159"/>
    </row>
    <row r="14" spans="2:21" ht="15" thickBot="1" x14ac:dyDescent="0.25">
      <c r="B14" s="334">
        <v>9</v>
      </c>
      <c r="C14" s="335" t="s">
        <v>301</v>
      </c>
      <c r="D14" s="336">
        <f>SUM(D6:D12)</f>
        <v>25547</v>
      </c>
      <c r="E14" s="337">
        <f>SUM(E6:E12)</f>
        <v>19117</v>
      </c>
      <c r="F14" s="338">
        <f>SUM(F6:F12)</f>
        <v>16610</v>
      </c>
      <c r="G14" s="339">
        <f t="shared" si="4"/>
        <v>86.886017680598414</v>
      </c>
      <c r="H14" s="340">
        <f>SUM(J14/F14)</f>
        <v>17253.479125827813</v>
      </c>
      <c r="I14" s="341">
        <f>SUM(I6:I12)</f>
        <v>286580.28827999998</v>
      </c>
      <c r="J14" s="336">
        <f t="shared" si="1"/>
        <v>286580288.27999997</v>
      </c>
      <c r="K14" s="342">
        <f t="shared" si="3"/>
        <v>11217.766793752689</v>
      </c>
      <c r="M14" s="158"/>
      <c r="N14" s="158"/>
      <c r="O14" s="158"/>
      <c r="P14" s="159"/>
      <c r="Q14" s="159"/>
      <c r="R14" s="159"/>
      <c r="S14" s="159"/>
      <c r="T14" s="159"/>
      <c r="U14" s="157"/>
    </row>
    <row r="16" spans="2:21" x14ac:dyDescent="0.2">
      <c r="D16" s="606">
        <v>71578.917000000001</v>
      </c>
      <c r="E16" s="203"/>
      <c r="I16" s="129"/>
      <c r="J16" s="128"/>
    </row>
    <row r="17" spans="4:16" x14ac:dyDescent="0.2">
      <c r="D17" s="607">
        <f>SUM(D13)/D16*100</f>
        <v>34.109205647802689</v>
      </c>
      <c r="I17" s="129"/>
      <c r="J17" s="130"/>
      <c r="M17" s="286"/>
      <c r="N17" s="287"/>
      <c r="O17" s="287"/>
      <c r="P17" s="286"/>
    </row>
    <row r="18" spans="4:16" ht="12" customHeight="1" x14ac:dyDescent="0.2">
      <c r="D18" s="608">
        <f>SUM(D6:D11)</f>
        <v>24415</v>
      </c>
      <c r="I18" s="130"/>
      <c r="J18" s="129"/>
    </row>
    <row r="19" spans="4:16" x14ac:dyDescent="0.2">
      <c r="D19" s="608">
        <f>SUM(E6:E11)</f>
        <v>18116</v>
      </c>
      <c r="G19" s="127"/>
      <c r="I19" s="130"/>
      <c r="J19" s="129"/>
    </row>
    <row r="20" spans="4:16" x14ac:dyDescent="0.2">
      <c r="D20" s="607">
        <f>SUM(D19)/D18*100</f>
        <v>74.200286708990376</v>
      </c>
      <c r="G20" s="127"/>
      <c r="I20" s="130"/>
      <c r="J20" s="149"/>
    </row>
    <row r="21" spans="4:16" ht="16.5" customHeight="1" x14ac:dyDescent="0.2">
      <c r="D21" s="607">
        <f>SUM(D7)/D13*100</f>
        <v>43.649395863198855</v>
      </c>
      <c r="G21" s="127"/>
      <c r="I21" s="130"/>
      <c r="J21" s="149"/>
    </row>
    <row r="22" spans="4:16" ht="15" customHeight="1" x14ac:dyDescent="0.2">
      <c r="F22" s="127"/>
      <c r="G22" s="127"/>
      <c r="I22" s="130"/>
      <c r="J22" s="149"/>
    </row>
    <row r="23" spans="4:16" ht="15" customHeight="1" x14ac:dyDescent="0.2">
      <c r="G23" s="127"/>
      <c r="I23" s="130"/>
      <c r="J23" s="149"/>
    </row>
    <row r="24" spans="4:16" ht="15" customHeight="1" x14ac:dyDescent="0.2">
      <c r="G24" s="127"/>
      <c r="I24" s="130"/>
    </row>
    <row r="25" spans="4:16" ht="15.75" customHeight="1" x14ac:dyDescent="0.2">
      <c r="G25" s="127"/>
    </row>
    <row r="26" spans="4:16" ht="18" customHeight="1" x14ac:dyDescent="0.2"/>
    <row r="27" spans="4:16" ht="15" customHeight="1" x14ac:dyDescent="0.2"/>
    <row r="32" spans="4:16" ht="63" customHeight="1" x14ac:dyDescent="0.2"/>
    <row r="35" ht="15" customHeight="1" x14ac:dyDescent="0.2"/>
    <row r="36" ht="18.75" customHeight="1" x14ac:dyDescent="0.2"/>
    <row r="37" ht="15.75" customHeight="1" x14ac:dyDescent="0.2"/>
    <row r="38" ht="14.25" customHeight="1" x14ac:dyDescent="0.2"/>
    <row r="39" ht="12" customHeight="1" x14ac:dyDescent="0.2"/>
  </sheetData>
  <mergeCells count="1">
    <mergeCell ref="C2:C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>
    <tabColor theme="9" tint="0.59999389629810485"/>
  </sheetPr>
  <dimension ref="B1:L25"/>
  <sheetViews>
    <sheetView zoomScale="80" zoomScaleNormal="80" workbookViewId="0">
      <selection activeCell="B1" sqref="B1"/>
    </sheetView>
  </sheetViews>
  <sheetFormatPr defaultRowHeight="15" x14ac:dyDescent="0.25"/>
  <cols>
    <col min="1" max="1" width="2.42578125" style="15" customWidth="1"/>
    <col min="2" max="2" width="52.85546875" style="15" customWidth="1"/>
    <col min="3" max="3" width="14.5703125" style="15" customWidth="1"/>
    <col min="4" max="4" width="12.140625" style="15" customWidth="1"/>
    <col min="5" max="5" width="15.140625" style="15" customWidth="1"/>
    <col min="6" max="6" width="15.28515625" style="15" customWidth="1"/>
    <col min="7" max="7" width="2.7109375" style="15" customWidth="1"/>
    <col min="8" max="8" width="8.85546875" style="15" customWidth="1"/>
    <col min="9" max="9" width="10.85546875" style="15" customWidth="1"/>
    <col min="10" max="10" width="3.5703125" style="15" customWidth="1"/>
    <col min="11" max="11" width="9.140625" style="15"/>
    <col min="12" max="12" width="11.85546875" style="15" bestFit="1" customWidth="1"/>
    <col min="13" max="13" width="2.42578125" style="15" customWidth="1"/>
    <col min="14" max="16384" width="9.140625" style="15"/>
  </cols>
  <sheetData>
    <row r="1" spans="2:12" x14ac:dyDescent="0.25">
      <c r="B1" s="14" t="s">
        <v>380</v>
      </c>
      <c r="H1" s="15" t="s">
        <v>320</v>
      </c>
      <c r="K1" s="450" t="s">
        <v>321</v>
      </c>
    </row>
    <row r="2" spans="2:12" ht="50.25" customHeight="1" x14ac:dyDescent="0.25">
      <c r="B2" s="350" t="s">
        <v>56</v>
      </c>
      <c r="C2" s="350" t="s">
        <v>66</v>
      </c>
      <c r="D2" s="350" t="s">
        <v>318</v>
      </c>
      <c r="E2" s="350" t="s">
        <v>69</v>
      </c>
      <c r="F2" s="350" t="s">
        <v>69</v>
      </c>
      <c r="H2" s="613" t="s">
        <v>107</v>
      </c>
      <c r="I2" s="613"/>
      <c r="K2" s="613" t="s">
        <v>107</v>
      </c>
      <c r="L2" s="613"/>
    </row>
    <row r="3" spans="2:12" ht="24" customHeight="1" x14ac:dyDescent="0.25">
      <c r="B3" s="351" t="s">
        <v>57</v>
      </c>
      <c r="C3" s="351" t="s">
        <v>67</v>
      </c>
      <c r="D3" s="351" t="s">
        <v>319</v>
      </c>
      <c r="E3" s="351" t="s">
        <v>102</v>
      </c>
      <c r="F3" s="351" t="s">
        <v>70</v>
      </c>
      <c r="H3" s="449">
        <v>2015</v>
      </c>
      <c r="I3" s="457">
        <v>74.3</v>
      </c>
      <c r="K3" s="449">
        <v>2015</v>
      </c>
      <c r="L3" s="454">
        <v>74.5</v>
      </c>
    </row>
    <row r="4" spans="2:12" x14ac:dyDescent="0.25">
      <c r="B4" s="352"/>
      <c r="C4" s="353"/>
      <c r="D4" s="354" t="s">
        <v>68</v>
      </c>
      <c r="E4" s="354" t="s">
        <v>238</v>
      </c>
      <c r="F4" s="354" t="s">
        <v>68</v>
      </c>
      <c r="H4" s="449">
        <v>2016</v>
      </c>
      <c r="I4" s="457">
        <v>80.599999999999994</v>
      </c>
      <c r="K4" s="449">
        <v>2016</v>
      </c>
      <c r="L4" s="454">
        <v>80.8</v>
      </c>
    </row>
    <row r="5" spans="2:12" x14ac:dyDescent="0.25">
      <c r="B5" s="240" t="s">
        <v>2</v>
      </c>
      <c r="C5" s="451">
        <f>SUM(P__!D50)</f>
        <v>5662.5126100000007</v>
      </c>
      <c r="D5" s="451">
        <f>SUM(P__!AE24/P__!D24)</f>
        <v>3069.1125257452577</v>
      </c>
      <c r="E5" s="451">
        <f>SUM(P__!V50)</f>
        <v>52.031978680879412</v>
      </c>
      <c r="F5" s="451">
        <f>SUM(P__!M50)</f>
        <v>7250.3362483994879</v>
      </c>
      <c r="H5" s="449">
        <v>2017</v>
      </c>
      <c r="I5" s="457">
        <v>86.1</v>
      </c>
      <c r="K5" s="449">
        <v>2017</v>
      </c>
      <c r="L5" s="455">
        <v>86.4</v>
      </c>
    </row>
    <row r="6" spans="2:12" x14ac:dyDescent="0.25">
      <c r="B6" s="240" t="s">
        <v>1</v>
      </c>
      <c r="C6" s="451">
        <f>SUM(P__!C50)</f>
        <v>82696.333379999982</v>
      </c>
      <c r="D6" s="451">
        <f>SUM(P__!AD24/P__!C24)</f>
        <v>7759.8135854368002</v>
      </c>
      <c r="E6" s="451">
        <f>SUM(P__!U50)</f>
        <v>85.071629401526309</v>
      </c>
      <c r="F6" s="451">
        <f>SUM(P__!L50)</f>
        <v>13014.846298394708</v>
      </c>
      <c r="H6" s="449">
        <v>2018</v>
      </c>
      <c r="I6" s="457">
        <v>88.2</v>
      </c>
      <c r="K6" s="449">
        <v>2018</v>
      </c>
      <c r="L6" s="454">
        <v>88.4</v>
      </c>
    </row>
    <row r="7" spans="2:12" x14ac:dyDescent="0.25">
      <c r="B7" s="240" t="s">
        <v>3</v>
      </c>
      <c r="C7" s="451">
        <f>SUM(P__!E50)</f>
        <v>29417.699989999997</v>
      </c>
      <c r="D7" s="451">
        <f>SUM(P__!AF24/P__!E24)</f>
        <v>5679.092662162162</v>
      </c>
      <c r="E7" s="451">
        <f>SUM(P__!W50)</f>
        <v>93.357320786050366</v>
      </c>
      <c r="F7" s="451">
        <f>SUM(P__!N50)</f>
        <v>8721.5238630299427</v>
      </c>
      <c r="H7" s="449">
        <v>2019</v>
      </c>
      <c r="I7" s="457">
        <v>89.2</v>
      </c>
      <c r="K7" s="449">
        <v>2019</v>
      </c>
      <c r="L7" s="454">
        <v>89.4</v>
      </c>
    </row>
    <row r="8" spans="2:12" x14ac:dyDescent="0.25">
      <c r="B8" s="240" t="s">
        <v>4</v>
      </c>
      <c r="C8" s="451">
        <f>SUM(P__!F50)</f>
        <v>30695.179130000008</v>
      </c>
      <c r="D8" s="451">
        <f>SUM(P__!AG24/P__!F24)</f>
        <v>14132.218752302029</v>
      </c>
      <c r="E8" s="451">
        <f>SUM(P__!X50)</f>
        <v>94.23585404547859</v>
      </c>
      <c r="F8" s="451">
        <f>SUM(P__!O50)</f>
        <v>17225.128580246917</v>
      </c>
      <c r="H8" s="449">
        <v>2020</v>
      </c>
      <c r="I8" s="457">
        <v>88.5</v>
      </c>
      <c r="K8" s="449">
        <v>2020</v>
      </c>
      <c r="L8" s="454">
        <v>88.8</v>
      </c>
    </row>
    <row r="9" spans="2:12" ht="15" customHeight="1" x14ac:dyDescent="0.25">
      <c r="B9" s="240" t="s">
        <v>58</v>
      </c>
      <c r="C9" s="451">
        <f>SUM(P__!G50)</f>
        <v>64698.140999999996</v>
      </c>
      <c r="D9" s="451">
        <f>SUM(P__!AH24/P__!G24)</f>
        <v>27149.870331514892</v>
      </c>
      <c r="E9" s="451">
        <f>SUM(P__!Y50)</f>
        <v>95.395869191049911</v>
      </c>
      <c r="F9" s="451">
        <f>SUM(P__!P50)</f>
        <v>29182.742895805139</v>
      </c>
      <c r="H9" s="449">
        <v>2021</v>
      </c>
      <c r="I9" s="457">
        <v>89.2</v>
      </c>
      <c r="K9" s="449">
        <v>2021</v>
      </c>
      <c r="L9" s="456">
        <v>89.5</v>
      </c>
    </row>
    <row r="10" spans="2:12" ht="13.5" customHeight="1" x14ac:dyDescent="0.25">
      <c r="B10" s="240" t="s">
        <v>59</v>
      </c>
      <c r="C10" s="451">
        <f>SUM(P__!H50)</f>
        <v>63169.621400000011</v>
      </c>
      <c r="D10" s="451">
        <f>SUM(P__!AI24/P__!H24)</f>
        <v>29003.499265381091</v>
      </c>
      <c r="E10" s="451">
        <f>SUM(P__!Z50)</f>
        <v>90.28831562974203</v>
      </c>
      <c r="F10" s="451">
        <f>SUM(P__!Q50)</f>
        <v>53083.715462184882</v>
      </c>
      <c r="H10" s="449">
        <v>2022</v>
      </c>
      <c r="I10" s="457">
        <v>86.6</v>
      </c>
      <c r="K10" s="449">
        <v>2022</v>
      </c>
      <c r="L10" s="457">
        <v>86.9</v>
      </c>
    </row>
    <row r="11" spans="2:12" ht="13.5" customHeight="1" x14ac:dyDescent="0.25">
      <c r="B11" s="240" t="s">
        <v>11</v>
      </c>
      <c r="C11" s="451">
        <f>SUM(P__!I50)</f>
        <v>10240.80077</v>
      </c>
      <c r="D11" s="451">
        <f>SUM(P__!AJ24/P__!I24)</f>
        <v>9046.6437897526503</v>
      </c>
      <c r="E11" s="451">
        <f>SUM(P__!AA50)</f>
        <v>91.208791208791212</v>
      </c>
      <c r="F11" s="451">
        <f>SUM(P__!R50)</f>
        <v>11216.649255202628</v>
      </c>
    </row>
    <row r="12" spans="2:12" ht="12.75" customHeight="1" x14ac:dyDescent="0.25">
      <c r="B12" s="448" t="s">
        <v>317</v>
      </c>
      <c r="C12" s="452">
        <f>SUM(C5:C10)</f>
        <v>276339.48751000001</v>
      </c>
      <c r="D12" s="453">
        <f>SUM('22r'!K13)</f>
        <v>11318.430780667622</v>
      </c>
      <c r="E12" s="452">
        <f>SUM(P__!U24+P__!V24+P__!W24+P__!X24+P__!Y24+P__!Z24)/(P__!L24+P__!M24+P__!N24+P__!O24+P__!P24+P__!Q24)*100</f>
        <v>86.64716272907927</v>
      </c>
      <c r="F12" s="452">
        <f>SUM(P__!AD24+P__!AE24+P__!AF24+P__!AG24+P__!AH24+P__!AI24)/(P__!U24+P__!V24+P__!W24+P__!X24+P__!Y24+P__!Z24)</f>
        <v>17604.605179970695</v>
      </c>
    </row>
    <row r="13" spans="2:12" ht="13.5" customHeight="1" x14ac:dyDescent="0.25">
      <c r="B13" s="448" t="s">
        <v>301</v>
      </c>
      <c r="C13" s="452">
        <f>SUM(C5:C11)</f>
        <v>286580.28827999998</v>
      </c>
      <c r="D13" s="453">
        <f>SUM('22r'!K14)</f>
        <v>11217.766793752689</v>
      </c>
      <c r="E13" s="452">
        <f>SUM(P__!U24+P__!V24+P__!W24+P__!X24+P__!Y24+P__!Z24+P__!AA24)/(P__!L24+P__!M24+P__!N24+P__!O24+P__!P24+P__!Q24+P__!R24)*100</f>
        <v>86.886017680598414</v>
      </c>
      <c r="F13" s="452">
        <f>SUM(P__!AD24+P__!AE24+P__!AF24+P__!AG24+P__!AH24+P__!AI24+P__!AJ24)/(P__!U24+P__!V24+P__!W24+P__!X24+P__!Y24+P__!Z24+P__!AA24)</f>
        <v>17253.479125827813</v>
      </c>
    </row>
    <row r="14" spans="2:12" ht="16.5" customHeight="1" x14ac:dyDescent="0.25">
      <c r="D14" s="242"/>
    </row>
    <row r="16" spans="2:12" x14ac:dyDescent="0.25">
      <c r="H16" s="15" t="s">
        <v>320</v>
      </c>
      <c r="K16" s="450" t="s">
        <v>321</v>
      </c>
    </row>
    <row r="17" spans="8:12" ht="56.25" customHeight="1" x14ac:dyDescent="0.25">
      <c r="H17" s="613" t="s">
        <v>64</v>
      </c>
      <c r="I17" s="613"/>
      <c r="K17" s="613" t="s">
        <v>64</v>
      </c>
      <c r="L17" s="613"/>
    </row>
    <row r="18" spans="8:12" x14ac:dyDescent="0.25">
      <c r="H18" s="449">
        <v>2015</v>
      </c>
      <c r="I18" s="458">
        <f>SUM('15r'!H13)</f>
        <v>13907.527365422102</v>
      </c>
      <c r="K18" s="449">
        <v>2015</v>
      </c>
      <c r="L18" s="458">
        <f>SUM('15r'!H14)</f>
        <v>13936.626184834126</v>
      </c>
    </row>
    <row r="19" spans="8:12" x14ac:dyDescent="0.25">
      <c r="H19" s="449">
        <v>2016</v>
      </c>
      <c r="I19" s="458">
        <f>SUM('16r'!H13)</f>
        <v>11609.894349217486</v>
      </c>
      <c r="K19" s="449">
        <v>2016</v>
      </c>
      <c r="L19" s="458">
        <f>SUM('16r'!H14)</f>
        <v>11585.453150965106</v>
      </c>
    </row>
    <row r="20" spans="8:12" ht="12" customHeight="1" x14ac:dyDescent="0.25">
      <c r="H20" s="449">
        <v>2017</v>
      </c>
      <c r="I20" s="458">
        <f>SUM('17r'!H13)</f>
        <v>11688.893583063418</v>
      </c>
      <c r="K20" s="449">
        <v>2017</v>
      </c>
      <c r="L20" s="458">
        <f>SUM('17r'!H14)</f>
        <v>11606.618338031951</v>
      </c>
    </row>
    <row r="21" spans="8:12" x14ac:dyDescent="0.25">
      <c r="H21" s="449">
        <v>2018</v>
      </c>
      <c r="I21" s="458">
        <f>SUM('18r'!H13)</f>
        <v>10588.083324823854</v>
      </c>
      <c r="K21" s="449">
        <v>2018</v>
      </c>
      <c r="L21" s="458">
        <f>SUM('18r'!H14)</f>
        <v>10428.115677028198</v>
      </c>
    </row>
    <row r="22" spans="8:12" x14ac:dyDescent="0.25">
      <c r="H22" s="449">
        <v>2019</v>
      </c>
      <c r="I22" s="458">
        <v>10436.9</v>
      </c>
      <c r="K22" s="449">
        <v>2019</v>
      </c>
      <c r="L22" s="458">
        <f>SUM('19r'!H14)</f>
        <v>10347.87357657448</v>
      </c>
    </row>
    <row r="23" spans="8:12" x14ac:dyDescent="0.25">
      <c r="H23" s="449">
        <v>2020</v>
      </c>
      <c r="I23" s="458">
        <v>11096.9</v>
      </c>
      <c r="K23" s="449">
        <v>2020</v>
      </c>
      <c r="L23" s="458">
        <f>SUM('20r'!H14)</f>
        <v>10736.48195081855</v>
      </c>
    </row>
    <row r="24" spans="8:12" x14ac:dyDescent="0.25">
      <c r="H24" s="449">
        <v>2021</v>
      </c>
      <c r="I24" s="458">
        <f>SUM('21r'!H13)</f>
        <v>15695.294915130766</v>
      </c>
      <c r="K24" s="449">
        <v>2021</v>
      </c>
      <c r="L24" s="458">
        <f>SUM('21r'!H14)</f>
        <v>15320.115876910426</v>
      </c>
    </row>
    <row r="25" spans="8:12" x14ac:dyDescent="0.25">
      <c r="H25" s="449">
        <v>2022</v>
      </c>
      <c r="I25" s="458">
        <f>SUM(F12)</f>
        <v>17604.605179970695</v>
      </c>
      <c r="K25" s="449">
        <v>2022</v>
      </c>
      <c r="L25" s="458">
        <f>SUM(F13)</f>
        <v>17253.479125827813</v>
      </c>
    </row>
  </sheetData>
  <mergeCells count="4">
    <mergeCell ref="H2:I2"/>
    <mergeCell ref="H17:I17"/>
    <mergeCell ref="K2:L2"/>
    <mergeCell ref="K17:L17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B1:L41"/>
  <sheetViews>
    <sheetView zoomScaleNormal="100" workbookViewId="0">
      <selection activeCell="B1" sqref="B1"/>
    </sheetView>
  </sheetViews>
  <sheetFormatPr defaultRowHeight="11.25" x14ac:dyDescent="0.2"/>
  <cols>
    <col min="1" max="1" width="2.42578125" style="183" customWidth="1"/>
    <col min="2" max="2" width="49.5703125" style="183" customWidth="1"/>
    <col min="3" max="3" width="10" style="183" customWidth="1"/>
    <col min="4" max="5" width="9.85546875" style="183" customWidth="1"/>
    <col min="6" max="6" width="10" style="183" customWidth="1"/>
    <col min="7" max="7" width="10.42578125" style="183" customWidth="1"/>
    <col min="8" max="8" width="9.5703125" style="183" customWidth="1"/>
    <col min="9" max="10" width="9" style="183" customWidth="1"/>
    <col min="11" max="11" width="10.85546875" style="183" customWidth="1"/>
    <col min="12" max="12" width="11" style="183" customWidth="1"/>
    <col min="13" max="16384" width="9.140625" style="183"/>
  </cols>
  <sheetData>
    <row r="1" spans="2:12" x14ac:dyDescent="0.2">
      <c r="B1" s="183" t="s">
        <v>382</v>
      </c>
    </row>
    <row r="2" spans="2:12" ht="11.25" customHeight="1" x14ac:dyDescent="0.2">
      <c r="B2" s="615" t="s">
        <v>168</v>
      </c>
      <c r="C2" s="547" t="s">
        <v>169</v>
      </c>
      <c r="D2" s="426"/>
      <c r="E2" s="426"/>
      <c r="F2" s="426"/>
      <c r="G2" s="426"/>
      <c r="H2" s="426"/>
      <c r="I2" s="426"/>
      <c r="J2" s="427"/>
      <c r="K2" s="357" t="s">
        <v>170</v>
      </c>
      <c r="L2" s="357" t="s">
        <v>170</v>
      </c>
    </row>
    <row r="3" spans="2:12" x14ac:dyDescent="0.2">
      <c r="B3" s="615"/>
      <c r="C3" s="428"/>
      <c r="D3" s="429"/>
      <c r="E3" s="429"/>
      <c r="F3" s="429"/>
      <c r="G3" s="429"/>
      <c r="H3" s="429"/>
      <c r="I3" s="429"/>
      <c r="J3" s="430"/>
      <c r="K3" s="548" t="s">
        <v>171</v>
      </c>
      <c r="L3" s="548" t="s">
        <v>171</v>
      </c>
    </row>
    <row r="4" spans="2:12" ht="33.75" customHeight="1" x14ac:dyDescent="0.2">
      <c r="B4" s="615"/>
      <c r="C4" s="355">
        <v>2015</v>
      </c>
      <c r="D4" s="355">
        <v>2016</v>
      </c>
      <c r="E4" s="355">
        <v>2017</v>
      </c>
      <c r="F4" s="355">
        <v>2018</v>
      </c>
      <c r="G4" s="355">
        <v>2019</v>
      </c>
      <c r="H4" s="355">
        <v>2020</v>
      </c>
      <c r="I4" s="355">
        <v>2021</v>
      </c>
      <c r="J4" s="425">
        <v>2022</v>
      </c>
      <c r="K4" s="358" t="s">
        <v>313</v>
      </c>
      <c r="L4" s="358" t="s">
        <v>381</v>
      </c>
    </row>
    <row r="5" spans="2:12" x14ac:dyDescent="0.2">
      <c r="B5" s="231" t="s">
        <v>2</v>
      </c>
      <c r="C5" s="459">
        <v>41.4</v>
      </c>
      <c r="D5" s="459">
        <v>50.5</v>
      </c>
      <c r="E5" s="460">
        <v>64.5</v>
      </c>
      <c r="F5" s="459">
        <v>69.599999999999994</v>
      </c>
      <c r="G5" s="459">
        <v>75.099999999999994</v>
      </c>
      <c r="H5" s="459">
        <v>65.599999999999994</v>
      </c>
      <c r="I5" s="461">
        <v>65.952080706179061</v>
      </c>
      <c r="J5" s="461">
        <f>SUM('2'!D25)</f>
        <v>52.031978680879412</v>
      </c>
      <c r="K5" s="232">
        <f t="shared" ref="K5:K13" si="0">SUM(J5-C5)</f>
        <v>10.631978680879413</v>
      </c>
      <c r="L5" s="461">
        <f t="shared" ref="L5:L13" si="1">SUM(J5-I5)</f>
        <v>-13.920102025299649</v>
      </c>
    </row>
    <row r="6" spans="2:12" x14ac:dyDescent="0.2">
      <c r="B6" s="231" t="s">
        <v>1</v>
      </c>
      <c r="C6" s="459">
        <v>78.2</v>
      </c>
      <c r="D6" s="459">
        <v>81.900000000000006</v>
      </c>
      <c r="E6" s="460">
        <v>84.5</v>
      </c>
      <c r="F6" s="459">
        <v>85.2</v>
      </c>
      <c r="G6" s="459">
        <v>85.2</v>
      </c>
      <c r="H6" s="459">
        <v>82.1</v>
      </c>
      <c r="I6" s="461">
        <v>85.895565927654602</v>
      </c>
      <c r="J6" s="461">
        <f>SUM('1'!C25)</f>
        <v>85.071629401526309</v>
      </c>
      <c r="K6" s="232">
        <f t="shared" si="0"/>
        <v>6.871629401526306</v>
      </c>
      <c r="L6" s="461">
        <f t="shared" si="1"/>
        <v>-0.82393652612829271</v>
      </c>
    </row>
    <row r="7" spans="2:12" x14ac:dyDescent="0.2">
      <c r="B7" s="231" t="s">
        <v>3</v>
      </c>
      <c r="C7" s="459">
        <v>88.1</v>
      </c>
      <c r="D7" s="459">
        <v>86.3</v>
      </c>
      <c r="E7" s="460">
        <v>90.5</v>
      </c>
      <c r="F7" s="459">
        <v>93.2</v>
      </c>
      <c r="G7" s="459">
        <v>93.6</v>
      </c>
      <c r="H7" s="459">
        <v>94.1</v>
      </c>
      <c r="I7" s="461">
        <v>94.459459459459467</v>
      </c>
      <c r="J7" s="461">
        <f>SUM('3'!E25)</f>
        <v>93.357320786050366</v>
      </c>
      <c r="K7" s="232">
        <f t="shared" si="0"/>
        <v>5.2573207860503715</v>
      </c>
      <c r="L7" s="461">
        <f t="shared" si="1"/>
        <v>-1.102138673409101</v>
      </c>
    </row>
    <row r="8" spans="2:12" x14ac:dyDescent="0.2">
      <c r="B8" s="231" t="s">
        <v>4</v>
      </c>
      <c r="C8" s="459">
        <v>79.099999999999994</v>
      </c>
      <c r="D8" s="459">
        <v>85.9</v>
      </c>
      <c r="E8" s="460">
        <v>91.7</v>
      </c>
      <c r="F8" s="459">
        <v>94.2</v>
      </c>
      <c r="G8" s="459">
        <v>94.5</v>
      </c>
      <c r="H8" s="461">
        <v>92</v>
      </c>
      <c r="I8" s="461">
        <v>95.259449071108264</v>
      </c>
      <c r="J8" s="461">
        <f>SUM('4'!F25)</f>
        <v>94.23585404547859</v>
      </c>
      <c r="K8" s="232">
        <f t="shared" si="0"/>
        <v>15.135854045478595</v>
      </c>
      <c r="L8" s="461">
        <f t="shared" si="1"/>
        <v>-1.0235950256296746</v>
      </c>
    </row>
    <row r="9" spans="2:12" x14ac:dyDescent="0.2">
      <c r="B9" s="231" t="s">
        <v>58</v>
      </c>
      <c r="C9" s="459">
        <v>90.2</v>
      </c>
      <c r="D9" s="459">
        <v>94.6</v>
      </c>
      <c r="E9" s="460">
        <v>95.3</v>
      </c>
      <c r="F9" s="461">
        <v>97</v>
      </c>
      <c r="G9" s="459">
        <v>97.3</v>
      </c>
      <c r="H9" s="459">
        <v>98.7</v>
      </c>
      <c r="I9" s="461">
        <v>97.169230769230779</v>
      </c>
      <c r="J9" s="461">
        <f>SUM('5'!G25)</f>
        <v>95.395869191049911</v>
      </c>
      <c r="K9" s="232">
        <f t="shared" si="0"/>
        <v>5.1958691910499084</v>
      </c>
      <c r="L9" s="461">
        <f t="shared" si="1"/>
        <v>-1.773361578180868</v>
      </c>
    </row>
    <row r="10" spans="2:12" x14ac:dyDescent="0.2">
      <c r="B10" s="231" t="s">
        <v>59</v>
      </c>
      <c r="C10" s="459">
        <v>73.900000000000006</v>
      </c>
      <c r="D10" s="459">
        <v>81.7</v>
      </c>
      <c r="E10" s="460">
        <v>86.7</v>
      </c>
      <c r="F10" s="459">
        <v>90.2</v>
      </c>
      <c r="G10" s="459">
        <v>91.5</v>
      </c>
      <c r="H10" s="459">
        <v>91.4</v>
      </c>
      <c r="I10" s="461">
        <v>90.869293308317694</v>
      </c>
      <c r="J10" s="461">
        <f>SUM('6'!H25)</f>
        <v>90.28831562974203</v>
      </c>
      <c r="K10" s="232">
        <f t="shared" si="0"/>
        <v>16.388315629742024</v>
      </c>
      <c r="L10" s="461">
        <f t="shared" si="1"/>
        <v>-0.58097767857566396</v>
      </c>
    </row>
    <row r="11" spans="2:12" x14ac:dyDescent="0.2">
      <c r="B11" s="231" t="str">
        <f>'15r'!$C$12</f>
        <v>Bon na zasiedlenie</v>
      </c>
      <c r="C11" s="459">
        <v>92.6</v>
      </c>
      <c r="D11" s="459">
        <v>90.8</v>
      </c>
      <c r="E11" s="460">
        <v>91.7</v>
      </c>
      <c r="F11" s="459">
        <v>92.9</v>
      </c>
      <c r="G11" s="459">
        <v>92.2</v>
      </c>
      <c r="H11" s="459">
        <v>92.3</v>
      </c>
      <c r="I11" s="461">
        <v>94.5</v>
      </c>
      <c r="J11" s="461">
        <v>91.2</v>
      </c>
      <c r="K11" s="461">
        <f t="shared" si="0"/>
        <v>-1.3999999999999915</v>
      </c>
      <c r="L11" s="461">
        <f t="shared" si="1"/>
        <v>-3.2999999999999972</v>
      </c>
    </row>
    <row r="12" spans="2:12" x14ac:dyDescent="0.2">
      <c r="B12" s="549" t="s">
        <v>314</v>
      </c>
      <c r="C12" s="459">
        <v>74.3</v>
      </c>
      <c r="D12" s="459">
        <v>80.599999999999994</v>
      </c>
      <c r="E12" s="460">
        <v>86.1</v>
      </c>
      <c r="F12" s="459">
        <v>88.2</v>
      </c>
      <c r="G12" s="459">
        <v>89.2</v>
      </c>
      <c r="H12" s="459">
        <v>88.5</v>
      </c>
      <c r="I12" s="461">
        <v>89.2</v>
      </c>
      <c r="J12" s="461">
        <v>86.6</v>
      </c>
      <c r="K12" s="232">
        <f t="shared" si="0"/>
        <v>12.299999999999997</v>
      </c>
      <c r="L12" s="461">
        <f t="shared" si="1"/>
        <v>-2.6000000000000085</v>
      </c>
    </row>
    <row r="13" spans="2:12" x14ac:dyDescent="0.2">
      <c r="B13" s="549" t="s">
        <v>301</v>
      </c>
      <c r="C13" s="459">
        <v>74.5</v>
      </c>
      <c r="D13" s="459">
        <v>80.8</v>
      </c>
      <c r="E13" s="460">
        <v>86.4</v>
      </c>
      <c r="F13" s="459">
        <v>88.4</v>
      </c>
      <c r="G13" s="459">
        <v>89.4</v>
      </c>
      <c r="H13" s="459">
        <v>88.8</v>
      </c>
      <c r="I13" s="461">
        <v>89.5</v>
      </c>
      <c r="J13" s="461">
        <v>86.9</v>
      </c>
      <c r="K13" s="232">
        <f t="shared" si="0"/>
        <v>12.400000000000006</v>
      </c>
      <c r="L13" s="461">
        <f t="shared" si="1"/>
        <v>-2.5999999999999943</v>
      </c>
    </row>
    <row r="14" spans="2:12" x14ac:dyDescent="0.2">
      <c r="B14" s="258"/>
      <c r="C14" s="259"/>
      <c r="D14" s="259"/>
      <c r="E14" s="243"/>
      <c r="F14" s="259"/>
      <c r="G14" s="259"/>
      <c r="H14" s="259"/>
      <c r="I14" s="260"/>
      <c r="J14" s="260"/>
      <c r="K14" s="260"/>
      <c r="L14" s="260"/>
    </row>
    <row r="15" spans="2:12" x14ac:dyDescent="0.2">
      <c r="B15" s="183" t="s">
        <v>383</v>
      </c>
    </row>
    <row r="16" spans="2:12" ht="22.5" x14ac:dyDescent="0.2">
      <c r="B16" s="614" t="s">
        <v>234</v>
      </c>
      <c r="C16" s="614" t="s">
        <v>315</v>
      </c>
      <c r="D16" s="614"/>
      <c r="E16" s="614" t="s">
        <v>235</v>
      </c>
      <c r="F16" s="614"/>
      <c r="G16" s="359" t="s">
        <v>236</v>
      </c>
      <c r="H16" s="229"/>
    </row>
    <row r="17" spans="2:12" x14ac:dyDescent="0.2">
      <c r="B17" s="614"/>
      <c r="C17" s="355">
        <v>2021</v>
      </c>
      <c r="D17" s="355">
        <v>2022</v>
      </c>
      <c r="E17" s="355">
        <v>2021</v>
      </c>
      <c r="F17" s="355">
        <v>2022</v>
      </c>
      <c r="G17" s="360" t="s">
        <v>268</v>
      </c>
      <c r="H17" s="233"/>
    </row>
    <row r="18" spans="2:12" x14ac:dyDescent="0.2">
      <c r="B18" s="240" t="s">
        <v>2</v>
      </c>
      <c r="C18" s="234">
        <f>SUM('21r'!I6)</f>
        <v>3462.46317</v>
      </c>
      <c r="D18" s="234">
        <f>SUM('22r'!I6)</f>
        <v>5662.5126100000016</v>
      </c>
      <c r="E18" s="234">
        <f>SUM('21r'!H6)</f>
        <v>6620.3884703632884</v>
      </c>
      <c r="F18" s="234">
        <f>SUM('22r'!H6)</f>
        <v>7250.3362483994897</v>
      </c>
      <c r="G18" s="235">
        <f>SUM(F18-E18)</f>
        <v>629.94777803620127</v>
      </c>
      <c r="H18" s="236"/>
    </row>
    <row r="19" spans="2:12" x14ac:dyDescent="0.2">
      <c r="B19" s="240" t="s">
        <v>1</v>
      </c>
      <c r="C19" s="234">
        <f>SUM('21r'!I7)</f>
        <v>72411.543540000013</v>
      </c>
      <c r="D19" s="234">
        <f>SUM('22r'!I7)</f>
        <v>82696.333379999996</v>
      </c>
      <c r="E19" s="234">
        <f>SUM('21r'!H7)</f>
        <v>12296.067845134998</v>
      </c>
      <c r="F19" s="234">
        <f>SUM('22r'!H7)</f>
        <v>13014.846298394712</v>
      </c>
      <c r="G19" s="235">
        <f>(F19-E19)</f>
        <v>718.7784532597143</v>
      </c>
      <c r="H19" s="236"/>
    </row>
    <row r="20" spans="2:12" x14ac:dyDescent="0.2">
      <c r="B20" s="240" t="s">
        <v>3</v>
      </c>
      <c r="C20" s="234">
        <f>SUM('21r'!I8)</f>
        <v>25483.716619999996</v>
      </c>
      <c r="D20" s="234">
        <f>SUM('22r'!I8)</f>
        <v>29417.699989999997</v>
      </c>
      <c r="E20" s="234">
        <f>SUM('21r'!H8)</f>
        <v>9114.3478612303279</v>
      </c>
      <c r="F20" s="234">
        <f>SUM('22r'!H8)</f>
        <v>8721.5238630299427</v>
      </c>
      <c r="G20" s="235">
        <f t="shared" ref="G20:G26" si="2">SUM(F20-E20)</f>
        <v>-392.82399820038518</v>
      </c>
      <c r="H20" s="236"/>
    </row>
    <row r="21" spans="2:12" x14ac:dyDescent="0.2">
      <c r="B21" s="240" t="s">
        <v>4</v>
      </c>
      <c r="C21" s="234">
        <f>SUM('21r'!I9)</f>
        <v>20822.31018</v>
      </c>
      <c r="D21" s="234">
        <f>SUM('22r'!I9)</f>
        <v>30695.17913</v>
      </c>
      <c r="E21" s="234">
        <f>SUM('21r'!H9)</f>
        <v>14002.898574310693</v>
      </c>
      <c r="F21" s="234">
        <f>SUM('22r'!H9)</f>
        <v>17225.128580246914</v>
      </c>
      <c r="G21" s="235">
        <f t="shared" si="2"/>
        <v>3222.2300059362206</v>
      </c>
      <c r="H21" s="236"/>
      <c r="L21" s="237"/>
    </row>
    <row r="22" spans="2:12" x14ac:dyDescent="0.2">
      <c r="B22" s="240" t="s">
        <v>58</v>
      </c>
      <c r="C22" s="234">
        <f>SUM('21r'!I10)</f>
        <v>50336.901399999995</v>
      </c>
      <c r="D22" s="234">
        <f>SUM('22r'!I10)</f>
        <v>64698.140999999996</v>
      </c>
      <c r="E22" s="234">
        <f>SUM('21r'!H10)</f>
        <v>31878.974920835972</v>
      </c>
      <c r="F22" s="234">
        <f>SUM('22r'!H10)</f>
        <v>29182.742895805139</v>
      </c>
      <c r="G22" s="235">
        <f t="shared" si="2"/>
        <v>-2696.232025030833</v>
      </c>
      <c r="H22" s="236"/>
      <c r="L22" s="237"/>
    </row>
    <row r="23" spans="2:12" x14ac:dyDescent="0.2">
      <c r="B23" s="240" t="s">
        <v>59</v>
      </c>
      <c r="C23" s="234">
        <f>SUM('21r'!I11)</f>
        <v>42932.378389999998</v>
      </c>
      <c r="D23" s="234">
        <f>SUM('22r'!I11)</f>
        <v>63169.621400000004</v>
      </c>
      <c r="E23" s="234">
        <f>SUM('21r'!H11)</f>
        <v>29547.404260151412</v>
      </c>
      <c r="F23" s="234">
        <f>SUM('22r'!H11)</f>
        <v>53083.715462184882</v>
      </c>
      <c r="G23" s="235">
        <f t="shared" si="2"/>
        <v>23536.31120203347</v>
      </c>
      <c r="H23" s="236"/>
      <c r="L23" s="237"/>
    </row>
    <row r="24" spans="2:12" x14ac:dyDescent="0.2">
      <c r="B24" s="241" t="str">
        <f>'15r'!$C$12</f>
        <v>Bon na zasiedlenie</v>
      </c>
      <c r="C24" s="234">
        <f>SUM('21r'!I12)</f>
        <v>8086.4974599999996</v>
      </c>
      <c r="D24" s="234">
        <f>SUM('22r'!I12)</f>
        <v>10240.80077</v>
      </c>
      <c r="E24" s="234">
        <f>SUM('21r'!H12)</f>
        <v>9359.3720601851855</v>
      </c>
      <c r="F24" s="234">
        <f>SUM('22r'!H12)</f>
        <v>11216.649255202628</v>
      </c>
      <c r="G24" s="235">
        <f t="shared" si="2"/>
        <v>1857.2771950174429</v>
      </c>
      <c r="H24" s="236"/>
      <c r="L24" s="237"/>
    </row>
    <row r="25" spans="2:12" x14ac:dyDescent="0.2">
      <c r="B25" s="549" t="s">
        <v>314</v>
      </c>
      <c r="C25" s="550">
        <f>SUM('21r'!I13)</f>
        <v>215449.31330000001</v>
      </c>
      <c r="D25" s="550">
        <f>SUM('22r'!I13)</f>
        <v>276339.48751000001</v>
      </c>
      <c r="E25" s="550">
        <f>SUM('21r'!H13)</f>
        <v>15695.294915130766</v>
      </c>
      <c r="F25" s="550">
        <f>SUM('22r'!H13)</f>
        <v>17604.605179970695</v>
      </c>
      <c r="G25" s="551">
        <f t="shared" si="2"/>
        <v>1909.310264839929</v>
      </c>
      <c r="H25" s="238"/>
      <c r="L25" s="239"/>
    </row>
    <row r="26" spans="2:12" x14ac:dyDescent="0.2">
      <c r="B26" s="549" t="s">
        <v>301</v>
      </c>
      <c r="C26" s="550">
        <f>SUM('21r'!I14)</f>
        <v>223535.81076000002</v>
      </c>
      <c r="D26" s="550">
        <f>SUM('22r'!I14)</f>
        <v>286580.28827999998</v>
      </c>
      <c r="E26" s="550">
        <f>SUM('21r'!H14)</f>
        <v>15320.115876910426</v>
      </c>
      <c r="F26" s="550">
        <f>SUM('22r'!H14)</f>
        <v>17253.479125827813</v>
      </c>
      <c r="G26" s="551">
        <f t="shared" si="2"/>
        <v>1933.363248917387</v>
      </c>
      <c r="H26" s="236"/>
      <c r="L26" s="239"/>
    </row>
    <row r="27" spans="2:12" x14ac:dyDescent="0.2">
      <c r="B27" s="183" t="s">
        <v>267</v>
      </c>
    </row>
    <row r="29" spans="2:12" x14ac:dyDescent="0.2">
      <c r="B29" s="183" t="s">
        <v>334</v>
      </c>
      <c r="H29" s="229"/>
    </row>
    <row r="30" spans="2:12" ht="22.5" x14ac:dyDescent="0.2">
      <c r="B30" s="614" t="s">
        <v>234</v>
      </c>
      <c r="C30" s="614" t="s">
        <v>315</v>
      </c>
      <c r="D30" s="614"/>
      <c r="E30" s="614" t="s">
        <v>235</v>
      </c>
      <c r="F30" s="614"/>
      <c r="G30" s="359" t="s">
        <v>236</v>
      </c>
      <c r="H30" s="233"/>
    </row>
    <row r="31" spans="2:12" x14ac:dyDescent="0.2">
      <c r="B31" s="614"/>
      <c r="C31" s="355">
        <v>2020</v>
      </c>
      <c r="D31" s="355">
        <v>2021</v>
      </c>
      <c r="E31" s="355">
        <v>2020</v>
      </c>
      <c r="F31" s="355">
        <v>2021</v>
      </c>
      <c r="G31" s="360" t="s">
        <v>268</v>
      </c>
      <c r="H31" s="236"/>
    </row>
    <row r="32" spans="2:12" x14ac:dyDescent="0.2">
      <c r="B32" s="240" t="s">
        <v>2</v>
      </c>
      <c r="C32" s="234">
        <f>SUM('20r'!I6)</f>
        <v>2798.5</v>
      </c>
      <c r="D32" s="234">
        <f>SUM('21r'!I6)</f>
        <v>3462.46317</v>
      </c>
      <c r="E32" s="234">
        <f>SUM('20r'!H6)</f>
        <v>5806.0165975103737</v>
      </c>
      <c r="F32" s="234">
        <f>SUM('21r'!H6)</f>
        <v>6620.3884703632884</v>
      </c>
      <c r="G32" s="235">
        <f>SUM(F32-E32)</f>
        <v>814.37187285291475</v>
      </c>
      <c r="H32" s="236"/>
    </row>
    <row r="33" spans="2:8" x14ac:dyDescent="0.2">
      <c r="B33" s="240" t="s">
        <v>1</v>
      </c>
      <c r="C33" s="234">
        <f>SUM('20r'!I7)</f>
        <v>48823.4</v>
      </c>
      <c r="D33" s="234">
        <f>SUM('21r'!I7)</f>
        <v>72411.543540000013</v>
      </c>
      <c r="E33" s="234">
        <f>SUM('20r'!H7)</f>
        <v>10636.906318082789</v>
      </c>
      <c r="F33" s="234">
        <f>SUM('21r'!H7)</f>
        <v>12296.067845134998</v>
      </c>
      <c r="G33" s="235">
        <f>(F33-E33)</f>
        <v>1659.1615270522088</v>
      </c>
      <c r="H33" s="236"/>
    </row>
    <row r="34" spans="2:8" x14ac:dyDescent="0.2">
      <c r="B34" s="240" t="s">
        <v>3</v>
      </c>
      <c r="C34" s="234">
        <f>SUM('20r'!I8)</f>
        <v>16205.1</v>
      </c>
      <c r="D34" s="234">
        <f>SUM('21r'!I8)</f>
        <v>25483.716619999996</v>
      </c>
      <c r="E34" s="234">
        <f>SUM('20r'!H8)</f>
        <v>5170.7402680280793</v>
      </c>
      <c r="F34" s="234">
        <f>SUM('21r'!H8)</f>
        <v>9114.3478612303279</v>
      </c>
      <c r="G34" s="235">
        <f t="shared" ref="G34:G40" si="3">SUM(F34-E34)</f>
        <v>3943.6075932022486</v>
      </c>
      <c r="H34" s="236"/>
    </row>
    <row r="35" spans="2:8" x14ac:dyDescent="0.2">
      <c r="B35" s="240" t="s">
        <v>4</v>
      </c>
      <c r="C35" s="234">
        <f>SUM('20r'!I9)</f>
        <v>16296.5</v>
      </c>
      <c r="D35" s="234">
        <f>SUM('21r'!I9)</f>
        <v>20822.31018</v>
      </c>
      <c r="E35" s="234">
        <f>SUM('20r'!H9)</f>
        <v>12089.39169139466</v>
      </c>
      <c r="F35" s="234">
        <f>SUM('21r'!H9)</f>
        <v>14002.898574310693</v>
      </c>
      <c r="G35" s="235">
        <f t="shared" si="3"/>
        <v>1913.5068829160336</v>
      </c>
      <c r="H35" s="236"/>
    </row>
    <row r="36" spans="2:8" x14ac:dyDescent="0.2">
      <c r="B36" s="240" t="s">
        <v>58</v>
      </c>
      <c r="C36" s="234">
        <f>SUM('20r'!I10)</f>
        <v>36183.5</v>
      </c>
      <c r="D36" s="234">
        <f>SUM('21r'!I10)</f>
        <v>50336.901399999995</v>
      </c>
      <c r="E36" s="234">
        <f>SUM('20r'!H10)</f>
        <v>16038.785460992907</v>
      </c>
      <c r="F36" s="234">
        <f>SUM('21r'!H10)</f>
        <v>31878.974920835972</v>
      </c>
      <c r="G36" s="235">
        <f t="shared" si="3"/>
        <v>15840.189459843064</v>
      </c>
      <c r="H36" s="236"/>
    </row>
    <row r="37" spans="2:8" x14ac:dyDescent="0.2">
      <c r="B37" s="240" t="s">
        <v>59</v>
      </c>
      <c r="C37" s="234">
        <f>SUM('20r'!I11)</f>
        <v>29490.400000000001</v>
      </c>
      <c r="D37" s="234">
        <f>SUM('21r'!I11)</f>
        <v>42932.378389999998</v>
      </c>
      <c r="E37" s="234">
        <f>SUM('20r'!H11)</f>
        <v>17460.272350503255</v>
      </c>
      <c r="F37" s="234">
        <f>SUM('21r'!H11)</f>
        <v>29547.404260151412</v>
      </c>
      <c r="G37" s="235">
        <f t="shared" si="3"/>
        <v>12087.131909648157</v>
      </c>
      <c r="H37" s="236"/>
    </row>
    <row r="38" spans="2:8" x14ac:dyDescent="0.2">
      <c r="B38" s="241" t="str">
        <f>'15r'!$C$12</f>
        <v>Bon na zasiedlenie</v>
      </c>
      <c r="C38" s="234">
        <f>SUM('20r'!I12)</f>
        <v>6944.5</v>
      </c>
      <c r="D38" s="234">
        <f>SUM('21r'!I12)</f>
        <v>8086.4974599999996</v>
      </c>
      <c r="E38" s="234">
        <f>SUM('20r'!H12)</f>
        <v>6313.181818181818</v>
      </c>
      <c r="F38" s="234">
        <f>SUM('21r'!H12)</f>
        <v>9359.3720601851855</v>
      </c>
      <c r="G38" s="235">
        <f t="shared" si="3"/>
        <v>3046.1902420033675</v>
      </c>
      <c r="H38" s="238"/>
    </row>
    <row r="39" spans="2:8" x14ac:dyDescent="0.2">
      <c r="B39" s="549" t="s">
        <v>314</v>
      </c>
      <c r="C39" s="550">
        <f>SUM('20r'!I13)</f>
        <v>149797.4</v>
      </c>
      <c r="D39" s="550">
        <f>SUM('21r'!I13)</f>
        <v>215449.31330000001</v>
      </c>
      <c r="E39" s="550">
        <f>SUM('20r'!H13)</f>
        <v>11096.925698199866</v>
      </c>
      <c r="F39" s="550">
        <f>SUM('21r'!H13)</f>
        <v>15695.294915130766</v>
      </c>
      <c r="G39" s="551">
        <f t="shared" si="3"/>
        <v>4598.3692169308997</v>
      </c>
      <c r="H39" s="238"/>
    </row>
    <row r="40" spans="2:8" x14ac:dyDescent="0.2">
      <c r="B40" s="549" t="s">
        <v>301</v>
      </c>
      <c r="C40" s="550">
        <f>SUM('20r'!I14)</f>
        <v>156741.9</v>
      </c>
      <c r="D40" s="550">
        <f>SUM('21r'!I14)</f>
        <v>223535.81076000002</v>
      </c>
      <c r="E40" s="550">
        <f>SUM('20r'!H14)</f>
        <v>10736.48195081855</v>
      </c>
      <c r="F40" s="550">
        <f>SUM('21r'!H14)</f>
        <v>15320.115876910426</v>
      </c>
      <c r="G40" s="551">
        <f t="shared" si="3"/>
        <v>4583.6339260918758</v>
      </c>
    </row>
    <row r="41" spans="2:8" x14ac:dyDescent="0.2">
      <c r="B41" s="183" t="s">
        <v>267</v>
      </c>
    </row>
  </sheetData>
  <mergeCells count="7">
    <mergeCell ref="B16:B17"/>
    <mergeCell ref="C16:D16"/>
    <mergeCell ref="E16:F16"/>
    <mergeCell ref="B2:B4"/>
    <mergeCell ref="B30:B31"/>
    <mergeCell ref="C30:D30"/>
    <mergeCell ref="E30:F30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B1:I19"/>
  <sheetViews>
    <sheetView zoomScale="80" zoomScaleNormal="80" workbookViewId="0">
      <selection activeCell="B1" sqref="B1"/>
    </sheetView>
  </sheetViews>
  <sheetFormatPr defaultRowHeight="15" x14ac:dyDescent="0.25"/>
  <cols>
    <col min="1" max="1" width="3" style="8" customWidth="1"/>
    <col min="2" max="2" width="6.7109375" style="8" customWidth="1"/>
    <col min="3" max="3" width="6.5703125" style="8" customWidth="1"/>
    <col min="4" max="4" width="11.140625" style="8" customWidth="1"/>
    <col min="5" max="5" width="17.42578125" style="8" customWidth="1"/>
    <col min="6" max="6" width="15.5703125" style="8" customWidth="1"/>
    <col min="7" max="7" width="14.140625" style="8" customWidth="1"/>
    <col min="8" max="8" width="15.7109375" style="8" customWidth="1"/>
    <col min="9" max="9" width="14.5703125" style="8" customWidth="1"/>
    <col min="10" max="16384" width="9.140625" style="8"/>
  </cols>
  <sheetData>
    <row r="1" spans="2:9" x14ac:dyDescent="0.25">
      <c r="B1" s="251" t="s">
        <v>193</v>
      </c>
      <c r="C1" s="62"/>
      <c r="D1" s="62"/>
      <c r="E1" s="62"/>
      <c r="F1" s="62"/>
      <c r="G1" s="62"/>
      <c r="I1" s="63"/>
    </row>
    <row r="2" spans="2:9" ht="60" customHeight="1" x14ac:dyDescent="0.25">
      <c r="B2" s="528" t="s">
        <v>55</v>
      </c>
      <c r="C2" s="529" t="s">
        <v>63</v>
      </c>
      <c r="D2" s="530" t="s">
        <v>190</v>
      </c>
      <c r="E2" s="529" t="s">
        <v>191</v>
      </c>
      <c r="F2" s="529" t="s">
        <v>192</v>
      </c>
      <c r="G2" s="529" t="s">
        <v>166</v>
      </c>
      <c r="H2" s="529" t="str">
        <f>T(F2)</f>
        <v>Wskaźnik efektywności zatrudnieniowej, Podkarpackie</v>
      </c>
      <c r="I2" s="529" t="str">
        <f>T(G2)</f>
        <v>Wskaźnik efekt. kosztowej, Podkarpackie</v>
      </c>
    </row>
    <row r="3" spans="2:9" x14ac:dyDescent="0.25">
      <c r="B3" s="541">
        <v>2007</v>
      </c>
      <c r="C3" s="542" t="s">
        <v>178</v>
      </c>
      <c r="D3" s="542" t="s">
        <v>194</v>
      </c>
      <c r="E3" s="542" t="s">
        <v>178</v>
      </c>
      <c r="F3" s="542" t="s">
        <v>178</v>
      </c>
      <c r="G3" s="542" t="s">
        <v>65</v>
      </c>
      <c r="H3" s="543" t="s">
        <v>60</v>
      </c>
      <c r="I3" s="543" t="s">
        <v>60</v>
      </c>
    </row>
    <row r="4" spans="2:9" x14ac:dyDescent="0.25">
      <c r="B4" s="541">
        <v>2008</v>
      </c>
      <c r="C4" s="542" t="s">
        <v>178</v>
      </c>
      <c r="D4" s="542" t="s">
        <v>194</v>
      </c>
      <c r="E4" s="542" t="s">
        <v>178</v>
      </c>
      <c r="F4" s="544">
        <v>52.26</v>
      </c>
      <c r="G4" s="544">
        <v>11011</v>
      </c>
      <c r="H4" s="545">
        <f>RANK(F4,F4:F18)</f>
        <v>14</v>
      </c>
      <c r="I4" s="545">
        <f>RANK(G4,G4:G18)</f>
        <v>11</v>
      </c>
    </row>
    <row r="5" spans="2:9" x14ac:dyDescent="0.25">
      <c r="B5" s="541">
        <v>2009</v>
      </c>
      <c r="C5" s="542" t="s">
        <v>178</v>
      </c>
      <c r="D5" s="542" t="s">
        <v>194</v>
      </c>
      <c r="E5" s="542" t="s">
        <v>178</v>
      </c>
      <c r="F5" s="544">
        <v>51.78</v>
      </c>
      <c r="G5" s="544">
        <v>13435.373352855049</v>
      </c>
      <c r="H5" s="545">
        <f>RANK(F5,F4:F18)</f>
        <v>15</v>
      </c>
      <c r="I5" s="545">
        <f>RANK(G5,G4:G18)</f>
        <v>5</v>
      </c>
    </row>
    <row r="6" spans="2:9" x14ac:dyDescent="0.25">
      <c r="B6" s="534">
        <v>2010</v>
      </c>
      <c r="C6" s="122" t="s">
        <v>178</v>
      </c>
      <c r="D6" s="122" t="s">
        <v>195</v>
      </c>
      <c r="E6" s="458">
        <v>386138.3</v>
      </c>
      <c r="F6" s="535">
        <v>53.1</v>
      </c>
      <c r="G6" s="535">
        <v>15720.32</v>
      </c>
      <c r="H6" s="457">
        <f>RANK(F6,F4:F18)</f>
        <v>13</v>
      </c>
      <c r="I6" s="457">
        <f>RANK(G6,G4:G18)</f>
        <v>2</v>
      </c>
    </row>
    <row r="7" spans="2:9" x14ac:dyDescent="0.25">
      <c r="B7" s="534">
        <v>2011</v>
      </c>
      <c r="C7" s="122" t="s">
        <v>178</v>
      </c>
      <c r="D7" s="122" t="s">
        <v>195</v>
      </c>
      <c r="E7" s="458">
        <v>153860.79999999999</v>
      </c>
      <c r="F7" s="535">
        <v>54.9</v>
      </c>
      <c r="G7" s="535">
        <v>9972.18</v>
      </c>
      <c r="H7" s="457">
        <f>RANK(F7,F4:F18)</f>
        <v>12</v>
      </c>
      <c r="I7" s="457">
        <f>RANK(G7,G4:G18)</f>
        <v>15</v>
      </c>
    </row>
    <row r="8" spans="2:9" x14ac:dyDescent="0.25">
      <c r="B8" s="534">
        <v>2012</v>
      </c>
      <c r="C8" s="122" t="s">
        <v>178</v>
      </c>
      <c r="D8" s="122" t="s">
        <v>195</v>
      </c>
      <c r="E8" s="458">
        <v>194132.6</v>
      </c>
      <c r="F8" s="535">
        <v>63.1</v>
      </c>
      <c r="G8" s="535">
        <v>11274.32</v>
      </c>
      <c r="H8" s="457">
        <f>RANK(F8,F4:F18)</f>
        <v>11</v>
      </c>
      <c r="I8" s="457">
        <f>RANK(G8,G4:G18)</f>
        <v>8</v>
      </c>
    </row>
    <row r="9" spans="2:9" x14ac:dyDescent="0.25">
      <c r="B9" s="534">
        <v>2013</v>
      </c>
      <c r="C9" s="122" t="s">
        <v>178</v>
      </c>
      <c r="D9" s="122" t="s">
        <v>195</v>
      </c>
      <c r="E9" s="458">
        <v>235424.7</v>
      </c>
      <c r="F9" s="535">
        <v>66.7</v>
      </c>
      <c r="G9" s="535">
        <v>10422.09</v>
      </c>
      <c r="H9" s="457">
        <f>RANK(F9,F4:F18)</f>
        <v>10</v>
      </c>
      <c r="I9" s="457">
        <f>RANK(G9,G4:G18)</f>
        <v>14</v>
      </c>
    </row>
    <row r="10" spans="2:9" x14ac:dyDescent="0.25">
      <c r="B10" s="537">
        <v>2014</v>
      </c>
      <c r="C10" s="536" t="s">
        <v>178</v>
      </c>
      <c r="D10" s="536" t="s">
        <v>196</v>
      </c>
      <c r="E10" s="538">
        <v>269440.7</v>
      </c>
      <c r="F10" s="539">
        <v>76.5</v>
      </c>
      <c r="G10" s="539">
        <v>11068.05</v>
      </c>
      <c r="H10" s="540">
        <f>RANK(F10,F4:F18)</f>
        <v>8</v>
      </c>
      <c r="I10" s="540">
        <f>RANK(G10,G4:G18)</f>
        <v>10</v>
      </c>
    </row>
    <row r="11" spans="2:9" x14ac:dyDescent="0.25">
      <c r="B11" s="537">
        <v>2015</v>
      </c>
      <c r="C11" s="536" t="s">
        <v>178</v>
      </c>
      <c r="D11" s="536" t="s">
        <v>196</v>
      </c>
      <c r="E11" s="538">
        <v>278247.90000000002</v>
      </c>
      <c r="F11" s="539">
        <v>74.3</v>
      </c>
      <c r="G11" s="539">
        <v>13907.53</v>
      </c>
      <c r="H11" s="540">
        <f>RANK(F11,F4:F18)</f>
        <v>9</v>
      </c>
      <c r="I11" s="540">
        <f>RANK(G11,G4:G18)</f>
        <v>4</v>
      </c>
    </row>
    <row r="12" spans="2:9" x14ac:dyDescent="0.25">
      <c r="B12" s="537">
        <v>2016</v>
      </c>
      <c r="C12" s="536" t="s">
        <v>178</v>
      </c>
      <c r="D12" s="536" t="s">
        <v>196</v>
      </c>
      <c r="E12" s="538">
        <v>264833.30000000005</v>
      </c>
      <c r="F12" s="539">
        <v>80.599999999999994</v>
      </c>
      <c r="G12" s="539">
        <v>11609.894349217482</v>
      </c>
      <c r="H12" s="540">
        <f>RANK(F12,F4:F18)</f>
        <v>7</v>
      </c>
      <c r="I12" s="540">
        <f>RANK(G12,G4:G18)</f>
        <v>7</v>
      </c>
    </row>
    <row r="13" spans="2:9" x14ac:dyDescent="0.25">
      <c r="B13" s="537">
        <v>2017</v>
      </c>
      <c r="C13" s="536" t="s">
        <v>178</v>
      </c>
      <c r="D13" s="536" t="s">
        <v>196</v>
      </c>
      <c r="E13" s="538">
        <f>SUM('17r'!I13)</f>
        <v>249008.5</v>
      </c>
      <c r="F13" s="539">
        <v>86.1</v>
      </c>
      <c r="G13" s="539">
        <f>SUM('17r'!H13)</f>
        <v>11688.893583063418</v>
      </c>
      <c r="H13" s="540">
        <f>RANK(F13,F4:F18)</f>
        <v>6</v>
      </c>
      <c r="I13" s="540">
        <f>RANK(G13,G4:G18)</f>
        <v>6</v>
      </c>
    </row>
    <row r="14" spans="2:9" x14ac:dyDescent="0.25">
      <c r="B14" s="537">
        <v>2018</v>
      </c>
      <c r="C14" s="536" t="s">
        <v>178</v>
      </c>
      <c r="D14" s="536" t="s">
        <v>196</v>
      </c>
      <c r="E14" s="538">
        <f>SUM('18r'!I13)</f>
        <v>207378.2</v>
      </c>
      <c r="F14" s="539">
        <v>88.2</v>
      </c>
      <c r="G14" s="539">
        <f>SUM('18r'!H13)</f>
        <v>10588.083324823854</v>
      </c>
      <c r="H14" s="540">
        <f>RANK(F14,F4:F18)</f>
        <v>4</v>
      </c>
      <c r="I14" s="540">
        <f>RANK(G14,G4:G18)</f>
        <v>12</v>
      </c>
    </row>
    <row r="15" spans="2:9" x14ac:dyDescent="0.25">
      <c r="B15" s="537">
        <v>2019</v>
      </c>
      <c r="C15" s="536" t="s">
        <v>178</v>
      </c>
      <c r="D15" s="536" t="s">
        <v>196</v>
      </c>
      <c r="E15" s="538">
        <f>SUM('19r'!I13)</f>
        <v>167147.29999999999</v>
      </c>
      <c r="F15" s="539">
        <v>89.2</v>
      </c>
      <c r="G15" s="539">
        <f>SUM('19r'!H13)</f>
        <v>10436.921635966282</v>
      </c>
      <c r="H15" s="540">
        <f>RANK(F15,F4:F18)</f>
        <v>2</v>
      </c>
      <c r="I15" s="540">
        <f>RANK(G15,G4:G18)</f>
        <v>13</v>
      </c>
    </row>
    <row r="16" spans="2:9" x14ac:dyDescent="0.25">
      <c r="B16" s="537">
        <v>2020</v>
      </c>
      <c r="C16" s="536" t="s">
        <v>178</v>
      </c>
      <c r="D16" s="536" t="s">
        <v>196</v>
      </c>
      <c r="E16" s="538">
        <f>SUM('20r'!I13)</f>
        <v>149797.4</v>
      </c>
      <c r="F16" s="539">
        <f>SUM('20r'!G13)</f>
        <v>88.49482103054936</v>
      </c>
      <c r="G16" s="539">
        <f>SUM('20r'!H13)</f>
        <v>11096.925698199866</v>
      </c>
      <c r="H16" s="540">
        <f>RANK(F16,F4:F18)</f>
        <v>3</v>
      </c>
      <c r="I16" s="540">
        <f>RANK(G16,G4:G18)</f>
        <v>9</v>
      </c>
    </row>
    <row r="17" spans="2:9" x14ac:dyDescent="0.25">
      <c r="B17" s="534">
        <v>2021</v>
      </c>
      <c r="C17" s="122" t="s">
        <v>178</v>
      </c>
      <c r="D17" s="122" t="s">
        <v>195</v>
      </c>
      <c r="E17" s="458">
        <f>SUM('21r'!I14)</f>
        <v>223535.81076000002</v>
      </c>
      <c r="F17" s="535">
        <f>SUM('21r'!G14)</f>
        <v>89.471425067451563</v>
      </c>
      <c r="G17" s="535">
        <f>SUM('21r'!H14)</f>
        <v>15320.115876910426</v>
      </c>
      <c r="H17" s="457">
        <f>RANK(F17,F4:F18)</f>
        <v>1</v>
      </c>
      <c r="I17" s="457">
        <f>RANK(G17,G4:G18)</f>
        <v>3</v>
      </c>
    </row>
    <row r="18" spans="2:9" x14ac:dyDescent="0.25">
      <c r="B18" s="537">
        <v>2022</v>
      </c>
      <c r="C18" s="536" t="s">
        <v>178</v>
      </c>
      <c r="D18" s="536" t="s">
        <v>196</v>
      </c>
      <c r="E18" s="538">
        <v>276339.48751000001</v>
      </c>
      <c r="F18" s="539">
        <f>SUM('22r'!G13)</f>
        <v>86.64716272907927</v>
      </c>
      <c r="G18" s="539">
        <f>SUM('22r'!H13)</f>
        <v>17604.605179970695</v>
      </c>
      <c r="H18" s="540">
        <f>RANK(F18,F4:F18)</f>
        <v>5</v>
      </c>
      <c r="I18" s="540">
        <f>RANK(G18,G4:G18)</f>
        <v>1</v>
      </c>
    </row>
    <row r="19" spans="2:9" x14ac:dyDescent="0.25">
      <c r="B19" s="531">
        <v>1</v>
      </c>
      <c r="C19" s="531">
        <v>2</v>
      </c>
      <c r="D19" s="531">
        <v>4</v>
      </c>
      <c r="E19" s="531">
        <v>5</v>
      </c>
      <c r="F19" s="531">
        <v>3</v>
      </c>
      <c r="G19" s="532">
        <v>6</v>
      </c>
      <c r="H19" s="533">
        <v>8</v>
      </c>
      <c r="I19" s="533">
        <v>7</v>
      </c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B1:K34"/>
  <sheetViews>
    <sheetView zoomScale="80" zoomScaleNormal="80" workbookViewId="0">
      <selection activeCell="B1" sqref="B1"/>
    </sheetView>
  </sheetViews>
  <sheetFormatPr defaultRowHeight="15.75" x14ac:dyDescent="0.25"/>
  <cols>
    <col min="1" max="1" width="2.42578125" style="268" customWidth="1"/>
    <col min="2" max="2" width="9.140625" style="268"/>
    <col min="3" max="3" width="31.5703125" style="268" customWidth="1"/>
    <col min="4" max="4" width="32.5703125" style="268" customWidth="1"/>
    <col min="5" max="5" width="15.5703125" style="268" customWidth="1"/>
    <col min="6" max="6" width="20.85546875" style="269" customWidth="1"/>
    <col min="7" max="7" width="3.5703125" style="268" customWidth="1"/>
    <col min="8" max="8" width="3.7109375" style="268" customWidth="1"/>
    <col min="9" max="9" width="7.42578125" style="268" customWidth="1"/>
    <col min="10" max="10" width="10" style="268" customWidth="1"/>
    <col min="11" max="11" width="7.5703125" style="268" customWidth="1"/>
    <col min="12" max="16384" width="9.140625" style="268"/>
  </cols>
  <sheetData>
    <row r="1" spans="2:11" ht="18.75" customHeight="1" x14ac:dyDescent="0.25">
      <c r="B1" s="276" t="s">
        <v>316</v>
      </c>
    </row>
    <row r="2" spans="2:11" ht="55.5" customHeight="1" x14ac:dyDescent="0.25">
      <c r="B2" s="519" t="s">
        <v>199</v>
      </c>
      <c r="C2" s="520" t="s">
        <v>52</v>
      </c>
      <c r="D2" s="520" t="s">
        <v>103</v>
      </c>
      <c r="E2" s="520" t="s">
        <v>165</v>
      </c>
      <c r="F2" s="520" t="s">
        <v>392</v>
      </c>
    </row>
    <row r="3" spans="2:11" x14ac:dyDescent="0.25">
      <c r="B3" s="270">
        <v>2015</v>
      </c>
      <c r="C3" s="271">
        <v>36658</v>
      </c>
      <c r="D3" s="271">
        <v>26927</v>
      </c>
      <c r="E3" s="271">
        <f>SUM('15r'!F13)</f>
        <v>20007</v>
      </c>
      <c r="F3" s="278">
        <v>127303.75</v>
      </c>
      <c r="H3" s="269">
        <v>6</v>
      </c>
      <c r="I3" s="272">
        <f t="shared" ref="I3:J9" si="0">SUM(D3/C3)*100</f>
        <v>73.454634731845715</v>
      </c>
      <c r="J3" s="272">
        <f t="shared" si="0"/>
        <v>74.300887584951909</v>
      </c>
      <c r="K3" s="272">
        <f>SUM(C3)/F3*100</f>
        <v>28.795695334976383</v>
      </c>
    </row>
    <row r="4" spans="2:11" x14ac:dyDescent="0.25">
      <c r="B4" s="270">
        <v>2016</v>
      </c>
      <c r="C4" s="271">
        <v>35772</v>
      </c>
      <c r="D4" s="271">
        <v>28312</v>
      </c>
      <c r="E4" s="271">
        <f>SUM('16r'!F13)</f>
        <v>22811</v>
      </c>
      <c r="F4" s="278">
        <v>113103.33333333333</v>
      </c>
      <c r="H4" s="269">
        <v>6</v>
      </c>
      <c r="I4" s="272">
        <f t="shared" si="0"/>
        <v>79.145700547914572</v>
      </c>
      <c r="J4" s="272">
        <f t="shared" si="0"/>
        <v>80.570076292738051</v>
      </c>
      <c r="K4" s="272">
        <f t="shared" ref="K4:K8" si="1">SUM(C4)/F4*100</f>
        <v>31.627715068816126</v>
      </c>
    </row>
    <row r="5" spans="2:11" x14ac:dyDescent="0.25">
      <c r="B5" s="270">
        <v>2017</v>
      </c>
      <c r="C5" s="271">
        <v>31163</v>
      </c>
      <c r="D5" s="271">
        <v>24731</v>
      </c>
      <c r="E5" s="271">
        <f>SUM('17r'!F13)</f>
        <v>21303</v>
      </c>
      <c r="F5" s="278">
        <v>96546.166666666672</v>
      </c>
      <c r="H5" s="269">
        <v>6</v>
      </c>
      <c r="I5" s="272">
        <f t="shared" si="0"/>
        <v>79.36013862593461</v>
      </c>
      <c r="J5" s="272">
        <f t="shared" si="0"/>
        <v>86.138854069790952</v>
      </c>
      <c r="K5" s="272">
        <f t="shared" si="1"/>
        <v>32.277822181788679</v>
      </c>
    </row>
    <row r="6" spans="2:11" x14ac:dyDescent="0.25">
      <c r="B6" s="270">
        <v>2018</v>
      </c>
      <c r="C6" s="271">
        <f>SUM('18r'!D13)</f>
        <v>26667</v>
      </c>
      <c r="D6" s="271">
        <f>SUM('18r'!E13)</f>
        <v>22212</v>
      </c>
      <c r="E6" s="271">
        <f>SUM('18r'!F13)</f>
        <v>19586</v>
      </c>
      <c r="F6" s="278">
        <v>84875.916666666672</v>
      </c>
      <c r="H6" s="269">
        <v>6</v>
      </c>
      <c r="I6" s="272">
        <f t="shared" si="0"/>
        <v>83.293958825514679</v>
      </c>
      <c r="J6" s="272">
        <f t="shared" si="0"/>
        <v>88.177561678372058</v>
      </c>
      <c r="K6" s="272">
        <f t="shared" si="1"/>
        <v>31.418806473371419</v>
      </c>
    </row>
    <row r="7" spans="2:11" x14ac:dyDescent="0.25">
      <c r="B7" s="270">
        <v>2019</v>
      </c>
      <c r="C7" s="271">
        <f>SUM('19r'!D13)</f>
        <v>22309</v>
      </c>
      <c r="D7" s="271">
        <f>SUM('19r'!E13)</f>
        <v>17964</v>
      </c>
      <c r="E7" s="271">
        <f>SUM('19r'!F13)</f>
        <v>16015</v>
      </c>
      <c r="F7" s="278">
        <v>77343</v>
      </c>
      <c r="H7" s="269">
        <v>6</v>
      </c>
      <c r="I7" s="272">
        <f t="shared" si="0"/>
        <v>80.523555515711138</v>
      </c>
      <c r="J7" s="272">
        <f t="shared" si="0"/>
        <v>89.150523268759741</v>
      </c>
      <c r="K7" s="272">
        <f t="shared" si="1"/>
        <v>28.844239297673997</v>
      </c>
    </row>
    <row r="8" spans="2:11" x14ac:dyDescent="0.25">
      <c r="B8" s="270">
        <v>2020</v>
      </c>
      <c r="C8" s="271">
        <f>SUM('20r'!D13)</f>
        <v>18849</v>
      </c>
      <c r="D8" s="271">
        <f>SUM('20r'!E13)</f>
        <v>15254</v>
      </c>
      <c r="E8" s="271">
        <f>SUM('20r'!F13)</f>
        <v>13499</v>
      </c>
      <c r="F8" s="278">
        <v>84035.75</v>
      </c>
      <c r="H8" s="269">
        <v>6</v>
      </c>
      <c r="I8" s="272">
        <f t="shared" si="0"/>
        <v>80.927370152262725</v>
      </c>
      <c r="J8" s="272">
        <f t="shared" si="0"/>
        <v>88.49482103054936</v>
      </c>
      <c r="K8" s="272">
        <f t="shared" si="1"/>
        <v>22.42973972386752</v>
      </c>
    </row>
    <row r="9" spans="2:11" x14ac:dyDescent="0.25">
      <c r="B9" s="270">
        <v>2021</v>
      </c>
      <c r="C9" s="271">
        <f>SUM('21r'!D14)</f>
        <v>22945</v>
      </c>
      <c r="D9" s="271">
        <f>SUM('21r'!E14)</f>
        <v>16308</v>
      </c>
      <c r="E9" s="271">
        <f>SUM('21r'!F14)</f>
        <v>14591</v>
      </c>
      <c r="F9" s="277">
        <v>82430.333333333328</v>
      </c>
      <c r="H9" s="525">
        <v>7</v>
      </c>
      <c r="I9" s="526">
        <f t="shared" si="0"/>
        <v>71.074308128132486</v>
      </c>
      <c r="J9" s="526">
        <f t="shared" si="0"/>
        <v>89.471425067451563</v>
      </c>
      <c r="K9" s="526">
        <f>SUM(C9)/F9*100</f>
        <v>27.835626852574496</v>
      </c>
    </row>
    <row r="10" spans="2:11" x14ac:dyDescent="0.25">
      <c r="B10" s="270">
        <v>2022</v>
      </c>
      <c r="C10" s="271">
        <f>SUM('22r'!D13)</f>
        <v>24415</v>
      </c>
      <c r="D10" s="271">
        <f>SUM('22r'!E13)</f>
        <v>18116</v>
      </c>
      <c r="E10" s="271">
        <f>SUM('22r'!F13)</f>
        <v>15697</v>
      </c>
      <c r="F10" s="277">
        <v>71578.916666666672</v>
      </c>
      <c r="H10" s="269">
        <v>6</v>
      </c>
      <c r="I10" s="272">
        <f>SUM(D10/C10)*100</f>
        <v>74.200286708990376</v>
      </c>
      <c r="J10" s="272">
        <f>SUM(E10/D10)*100</f>
        <v>86.64716272907927</v>
      </c>
      <c r="K10" s="272">
        <f>SUM(C10)/F10*100</f>
        <v>34.109205806644646</v>
      </c>
    </row>
    <row r="12" spans="2:11" ht="16.5" customHeight="1" x14ac:dyDescent="0.25">
      <c r="B12" s="617" t="s">
        <v>345</v>
      </c>
      <c r="C12" s="617"/>
      <c r="D12" s="617"/>
      <c r="E12" s="617"/>
    </row>
    <row r="13" spans="2:11" ht="18.75" customHeight="1" x14ac:dyDescent="0.25">
      <c r="B13" s="616" t="s">
        <v>335</v>
      </c>
      <c r="C13" s="524" t="s">
        <v>336</v>
      </c>
      <c r="D13" s="524" t="s">
        <v>338</v>
      </c>
      <c r="E13" s="521" t="s">
        <v>340</v>
      </c>
    </row>
    <row r="14" spans="2:11" ht="16.5" customHeight="1" x14ac:dyDescent="0.25">
      <c r="B14" s="616"/>
      <c r="C14" s="523" t="s">
        <v>337</v>
      </c>
      <c r="D14" s="523" t="s">
        <v>339</v>
      </c>
      <c r="E14" s="522" t="s">
        <v>393</v>
      </c>
    </row>
    <row r="15" spans="2:11" x14ac:dyDescent="0.25">
      <c r="B15" s="273">
        <v>2015</v>
      </c>
      <c r="C15" s="274">
        <v>20007</v>
      </c>
      <c r="D15" s="273">
        <v>123514</v>
      </c>
      <c r="E15" s="273">
        <v>16.2</v>
      </c>
    </row>
    <row r="16" spans="2:11" x14ac:dyDescent="0.25">
      <c r="B16" s="273">
        <v>2016</v>
      </c>
      <c r="C16" s="274">
        <v>22811</v>
      </c>
      <c r="D16" s="273">
        <v>107567</v>
      </c>
      <c r="E16" s="273">
        <v>21.2</v>
      </c>
    </row>
    <row r="17" spans="2:9" x14ac:dyDescent="0.25">
      <c r="B17" s="273">
        <v>2017</v>
      </c>
      <c r="C17" s="274">
        <v>21303</v>
      </c>
      <c r="D17" s="273">
        <v>90972</v>
      </c>
      <c r="E17" s="273">
        <v>23.4</v>
      </c>
    </row>
    <row r="18" spans="2:9" x14ac:dyDescent="0.25">
      <c r="B18" s="273">
        <v>2018</v>
      </c>
      <c r="C18" s="274">
        <v>19586</v>
      </c>
      <c r="D18" s="273">
        <v>82933</v>
      </c>
      <c r="E18" s="273">
        <v>23.6</v>
      </c>
    </row>
    <row r="19" spans="2:9" x14ac:dyDescent="0.25">
      <c r="B19" s="273">
        <v>2019</v>
      </c>
      <c r="C19" s="274">
        <v>16015</v>
      </c>
      <c r="D19" s="273">
        <v>75455</v>
      </c>
      <c r="E19" s="273">
        <v>21.2</v>
      </c>
    </row>
    <row r="20" spans="2:9" x14ac:dyDescent="0.25">
      <c r="B20" s="273">
        <v>2020</v>
      </c>
      <c r="C20" s="274">
        <v>13499</v>
      </c>
      <c r="D20" s="273">
        <v>87326</v>
      </c>
      <c r="E20" s="273">
        <v>15.4</v>
      </c>
    </row>
    <row r="21" spans="2:9" x14ac:dyDescent="0.25">
      <c r="B21" s="273">
        <v>2021</v>
      </c>
      <c r="C21" s="274">
        <v>14591</v>
      </c>
      <c r="D21" s="273">
        <v>77291</v>
      </c>
      <c r="E21" s="275">
        <f>SUM(C21/D21)*100</f>
        <v>18.878006494934727</v>
      </c>
    </row>
    <row r="22" spans="2:9" x14ac:dyDescent="0.25">
      <c r="B22" s="273">
        <v>2022</v>
      </c>
      <c r="C22" s="274">
        <v>15697</v>
      </c>
      <c r="D22" s="273">
        <v>69046</v>
      </c>
      <c r="E22" s="275">
        <f>SUM(C22/D22)*100</f>
        <v>22.734119282796975</v>
      </c>
    </row>
    <row r="24" spans="2:9" ht="34.5" customHeight="1" x14ac:dyDescent="0.25">
      <c r="B24" s="618" t="s">
        <v>344</v>
      </c>
      <c r="C24" s="618"/>
      <c r="D24" s="618"/>
      <c r="E24" s="618"/>
    </row>
    <row r="25" spans="2:9" x14ac:dyDescent="0.25">
      <c r="B25" s="616" t="s">
        <v>335</v>
      </c>
      <c r="C25" s="521" t="s">
        <v>341</v>
      </c>
      <c r="D25" s="521" t="s">
        <v>336</v>
      </c>
      <c r="E25" s="521" t="s">
        <v>342</v>
      </c>
    </row>
    <row r="26" spans="2:9" x14ac:dyDescent="0.25">
      <c r="B26" s="616"/>
      <c r="C26" s="522" t="s">
        <v>103</v>
      </c>
      <c r="D26" s="522" t="s">
        <v>337</v>
      </c>
      <c r="E26" s="522" t="s">
        <v>343</v>
      </c>
    </row>
    <row r="27" spans="2:9" x14ac:dyDescent="0.25">
      <c r="B27" s="273">
        <v>2015</v>
      </c>
      <c r="C27" s="274">
        <v>26927</v>
      </c>
      <c r="D27" s="273">
        <v>20007</v>
      </c>
      <c r="E27" s="273">
        <v>6920</v>
      </c>
    </row>
    <row r="28" spans="2:9" x14ac:dyDescent="0.25">
      <c r="B28" s="273">
        <v>2016</v>
      </c>
      <c r="C28" s="274">
        <v>28312</v>
      </c>
      <c r="D28" s="273">
        <v>22811</v>
      </c>
      <c r="E28" s="273">
        <v>5501</v>
      </c>
    </row>
    <row r="29" spans="2:9" x14ac:dyDescent="0.25">
      <c r="B29" s="273">
        <v>2017</v>
      </c>
      <c r="C29" s="274">
        <v>24731</v>
      </c>
      <c r="D29" s="273">
        <v>21303</v>
      </c>
      <c r="E29" s="273">
        <v>3428</v>
      </c>
    </row>
    <row r="30" spans="2:9" x14ac:dyDescent="0.25">
      <c r="B30" s="273">
        <v>2018</v>
      </c>
      <c r="C30" s="274">
        <v>22212</v>
      </c>
      <c r="D30" s="273">
        <v>19586</v>
      </c>
      <c r="E30" s="273">
        <v>2626</v>
      </c>
    </row>
    <row r="31" spans="2:9" x14ac:dyDescent="0.25">
      <c r="B31" s="273">
        <v>2019</v>
      </c>
      <c r="C31" s="274">
        <v>17964</v>
      </c>
      <c r="D31" s="273">
        <v>16015</v>
      </c>
      <c r="E31" s="273">
        <v>1949</v>
      </c>
      <c r="I31" s="269"/>
    </row>
    <row r="32" spans="2:9" x14ac:dyDescent="0.25">
      <c r="B32" s="273">
        <v>2020</v>
      </c>
      <c r="C32" s="274">
        <v>15254</v>
      </c>
      <c r="D32" s="273">
        <v>13499</v>
      </c>
      <c r="E32" s="273">
        <v>1755</v>
      </c>
    </row>
    <row r="33" spans="2:5" x14ac:dyDescent="0.25">
      <c r="B33" s="273">
        <v>2021</v>
      </c>
      <c r="C33" s="274">
        <v>16308</v>
      </c>
      <c r="D33" s="273">
        <v>14591</v>
      </c>
      <c r="E33" s="270">
        <f>SUM(C33)-D33</f>
        <v>1717</v>
      </c>
    </row>
    <row r="34" spans="2:5" x14ac:dyDescent="0.25">
      <c r="B34" s="273">
        <v>2022</v>
      </c>
      <c r="C34" s="274">
        <v>18116</v>
      </c>
      <c r="D34" s="273">
        <v>15697</v>
      </c>
      <c r="E34" s="270">
        <f>SUM(C34)-D34</f>
        <v>2419</v>
      </c>
    </row>
  </sheetData>
  <mergeCells count="4">
    <mergeCell ref="B13:B14"/>
    <mergeCell ref="B12:E12"/>
    <mergeCell ref="B25:B26"/>
    <mergeCell ref="B24:E2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6">
    <tabColor theme="0"/>
    <pageSetUpPr fitToPage="1"/>
  </sheetPr>
  <dimension ref="A1:H35"/>
  <sheetViews>
    <sheetView zoomScaleNormal="100" workbookViewId="0">
      <selection activeCell="B1" sqref="B1"/>
    </sheetView>
  </sheetViews>
  <sheetFormatPr defaultRowHeight="15" x14ac:dyDescent="0.25"/>
  <cols>
    <col min="1" max="1" width="3.28515625" style="10" customWidth="1"/>
    <col min="2" max="2" width="15" style="15" customWidth="1"/>
    <col min="3" max="3" width="12.42578125" style="15" customWidth="1"/>
    <col min="4" max="4" width="8.42578125" style="15" customWidth="1"/>
    <col min="5" max="5" width="12.7109375" style="15" customWidth="1"/>
    <col min="6" max="6" width="8.42578125" style="15" customWidth="1"/>
    <col min="7" max="7" width="1.5703125" style="15" customWidth="1"/>
    <col min="8" max="16384" width="9.140625" style="15"/>
  </cols>
  <sheetData>
    <row r="1" spans="1:8" ht="15.75" customHeight="1" thickBot="1" x14ac:dyDescent="0.3">
      <c r="B1" s="15" t="s">
        <v>388</v>
      </c>
    </row>
    <row r="2" spans="1:8" ht="22.5" x14ac:dyDescent="0.25">
      <c r="B2" s="619" t="s">
        <v>96</v>
      </c>
      <c r="C2" s="500" t="s">
        <v>62</v>
      </c>
      <c r="D2" s="621" t="s">
        <v>71</v>
      </c>
      <c r="E2" s="500" t="s">
        <v>61</v>
      </c>
      <c r="F2" s="623" t="s">
        <v>71</v>
      </c>
      <c r="H2" s="502" t="s">
        <v>99</v>
      </c>
    </row>
    <row r="3" spans="1:8" ht="15.75" thickBot="1" x14ac:dyDescent="0.3">
      <c r="B3" s="620"/>
      <c r="C3" s="501" t="s">
        <v>238</v>
      </c>
      <c r="D3" s="622"/>
      <c r="E3" s="501" t="s">
        <v>350</v>
      </c>
      <c r="F3" s="624"/>
      <c r="H3" s="503" t="s">
        <v>98</v>
      </c>
    </row>
    <row r="4" spans="1:8" ht="16.5" customHeight="1" thickBot="1" x14ac:dyDescent="0.3">
      <c r="A4" s="10" t="s">
        <v>51</v>
      </c>
      <c r="B4" s="496" t="s">
        <v>72</v>
      </c>
      <c r="C4" s="515">
        <f>SUM(P__!AE47)</f>
        <v>86.64716272907927</v>
      </c>
      <c r="D4" s="497" t="s">
        <v>60</v>
      </c>
      <c r="E4" s="512">
        <f>SUM(P__!AE46)</f>
        <v>17604.605179970695</v>
      </c>
      <c r="F4" s="498" t="s">
        <v>60</v>
      </c>
      <c r="H4" s="52" t="s">
        <v>60</v>
      </c>
    </row>
    <row r="5" spans="1:8" ht="13.5" customHeight="1" x14ac:dyDescent="0.25">
      <c r="A5" s="10">
        <v>1</v>
      </c>
      <c r="B5" s="491" t="s">
        <v>73</v>
      </c>
      <c r="C5" s="516">
        <f>SUM('01'!H31)/'01'!G31*100</f>
        <v>89.625360230547543</v>
      </c>
      <c r="D5" s="504">
        <f>RANK(C5,C5:C25,0)</f>
        <v>7</v>
      </c>
      <c r="E5" s="513">
        <f>SUM('01'!E31)/'01'!H31</f>
        <v>16500.104598070739</v>
      </c>
      <c r="F5" s="507">
        <f>RANK(E5,E5:E25,1)</f>
        <v>7</v>
      </c>
      <c r="H5" s="252">
        <f>SUM(D5-F5)</f>
        <v>0</v>
      </c>
    </row>
    <row r="6" spans="1:8" x14ac:dyDescent="0.25">
      <c r="A6" s="10">
        <v>2</v>
      </c>
      <c r="B6" s="492" t="s">
        <v>74</v>
      </c>
      <c r="C6" s="517">
        <f>SUM('02'!H31)/'02'!G31*100</f>
        <v>91.327913279132787</v>
      </c>
      <c r="D6" s="505">
        <f>RANK(C6,C5:C25,0)</f>
        <v>3</v>
      </c>
      <c r="E6" s="514">
        <f>SUM('02'!E31)/'02'!H31</f>
        <v>18443.258175074185</v>
      </c>
      <c r="F6" s="508">
        <f>RANK(E6,E5:E25,1)</f>
        <v>14</v>
      </c>
      <c r="H6" s="609">
        <f t="shared" ref="H6:H25" si="0">SUM(D6-F6)</f>
        <v>-11</v>
      </c>
    </row>
    <row r="7" spans="1:8" x14ac:dyDescent="0.25">
      <c r="A7" s="10">
        <v>3</v>
      </c>
      <c r="B7" s="492" t="s">
        <v>75</v>
      </c>
      <c r="C7" s="517">
        <f>SUM('03'!H31)/'03'!G31*100</f>
        <v>90.126939351198871</v>
      </c>
      <c r="D7" s="505">
        <f>RANK(C7,C5:C25,0)</f>
        <v>5</v>
      </c>
      <c r="E7" s="514">
        <f>SUM('03'!E31)/'03'!H31</f>
        <v>16704.203035993742</v>
      </c>
      <c r="F7" s="508">
        <f>RANK(E7,E5:E25,1)</f>
        <v>9</v>
      </c>
      <c r="H7" s="51">
        <f t="shared" si="0"/>
        <v>-4</v>
      </c>
    </row>
    <row r="8" spans="1:8" x14ac:dyDescent="0.25">
      <c r="A8" s="10">
        <v>4</v>
      </c>
      <c r="B8" s="492" t="s">
        <v>76</v>
      </c>
      <c r="C8" s="517">
        <f>SUM('04'!H31)/'04'!G31*100</f>
        <v>92.99103504482477</v>
      </c>
      <c r="D8" s="505">
        <f>RANK(C8,C5:C25,0)</f>
        <v>1</v>
      </c>
      <c r="E8" s="514">
        <f>SUM('04'!E31)/'04'!H31</f>
        <v>18586.035872042066</v>
      </c>
      <c r="F8" s="508">
        <f>RANK(E8,E5:E25,1)</f>
        <v>16</v>
      </c>
      <c r="H8" s="609">
        <f t="shared" si="0"/>
        <v>-15</v>
      </c>
    </row>
    <row r="9" spans="1:8" x14ac:dyDescent="0.25">
      <c r="A9" s="10">
        <v>5</v>
      </c>
      <c r="B9" s="492" t="s">
        <v>77</v>
      </c>
      <c r="C9" s="517">
        <f>SUM('05'!H31)/'05'!G31*100</f>
        <v>87.474332648870629</v>
      </c>
      <c r="D9" s="505">
        <f>RANK(C9,C5:C25,0)</f>
        <v>11</v>
      </c>
      <c r="E9" s="514">
        <f>SUM('05'!E31)/'05'!H31</f>
        <v>23455.685011737089</v>
      </c>
      <c r="F9" s="508">
        <f>RANK(E9,E5:E25,1)</f>
        <v>20</v>
      </c>
      <c r="H9" s="51">
        <f t="shared" si="0"/>
        <v>-9</v>
      </c>
    </row>
    <row r="10" spans="1:8" x14ac:dyDescent="0.25">
      <c r="A10" s="10">
        <v>6</v>
      </c>
      <c r="B10" s="492" t="s">
        <v>78</v>
      </c>
      <c r="C10" s="517">
        <f>SUM('06'!H31)/'06'!G31*100</f>
        <v>92.160278745644604</v>
      </c>
      <c r="D10" s="505">
        <f>RANK(C10,C5:C25,0)</f>
        <v>2</v>
      </c>
      <c r="E10" s="514">
        <f>SUM('06'!E31)/'06'!H31</f>
        <v>15364.935482041588</v>
      </c>
      <c r="F10" s="508">
        <f>RANK(E10,E5:E25,1)</f>
        <v>5</v>
      </c>
      <c r="H10" s="51">
        <f t="shared" si="0"/>
        <v>-3</v>
      </c>
    </row>
    <row r="11" spans="1:8" x14ac:dyDescent="0.25">
      <c r="A11" s="10">
        <v>7</v>
      </c>
      <c r="B11" s="493" t="s">
        <v>79</v>
      </c>
      <c r="C11" s="517">
        <f>SUM('07'!H31)/'07'!G31*100</f>
        <v>84.99095840867993</v>
      </c>
      <c r="D11" s="505">
        <f>RANK(C11,C5:C25,0)</f>
        <v>16</v>
      </c>
      <c r="E11" s="514">
        <f>SUM('07'!E31)/'07'!H31</f>
        <v>19153.068382978723</v>
      </c>
      <c r="F11" s="508">
        <f>RANK(E11,E5:E25,1)</f>
        <v>17</v>
      </c>
      <c r="H11" s="51">
        <f t="shared" si="0"/>
        <v>-1</v>
      </c>
    </row>
    <row r="12" spans="1:8" x14ac:dyDescent="0.25">
      <c r="A12" s="10">
        <v>8</v>
      </c>
      <c r="B12" s="492" t="s">
        <v>92</v>
      </c>
      <c r="C12" s="517">
        <f>SUM('21'!H31)/'21'!G31*100</f>
        <v>85.507246376811594</v>
      </c>
      <c r="D12" s="505">
        <f>RANK(C12,C5:C25,0)</f>
        <v>15</v>
      </c>
      <c r="E12" s="514">
        <f>SUM('21'!E31)/'21'!H31</f>
        <v>25387.980889830509</v>
      </c>
      <c r="F12" s="508">
        <f>RANK(E12,E5:E25,1)</f>
        <v>21</v>
      </c>
      <c r="H12" s="51">
        <f t="shared" si="0"/>
        <v>-6</v>
      </c>
    </row>
    <row r="13" spans="1:8" x14ac:dyDescent="0.25">
      <c r="A13" s="10">
        <v>9</v>
      </c>
      <c r="B13" s="492" t="s">
        <v>80</v>
      </c>
      <c r="C13" s="517">
        <f>SUM('08'!H31)/'08'!G31*100</f>
        <v>86.822529224229541</v>
      </c>
      <c r="D13" s="505">
        <f>RANK(C13,C5:C25,0)</f>
        <v>12</v>
      </c>
      <c r="E13" s="514">
        <f>SUM('08'!E31)/'08'!H31</f>
        <v>18132.858861689103</v>
      </c>
      <c r="F13" s="508">
        <f>RANK(E13,E5:E25,1)</f>
        <v>13</v>
      </c>
      <c r="H13" s="51">
        <f t="shared" si="0"/>
        <v>-1</v>
      </c>
    </row>
    <row r="14" spans="1:8" x14ac:dyDescent="0.25">
      <c r="A14" s="10">
        <v>10</v>
      </c>
      <c r="B14" s="492" t="s">
        <v>81</v>
      </c>
      <c r="C14" s="517">
        <f>SUM('09'!H31)/'09'!G31*100</f>
        <v>89.273356401384092</v>
      </c>
      <c r="D14" s="505">
        <f>RANK(C14,C5:C25,0)</f>
        <v>8</v>
      </c>
      <c r="E14" s="514">
        <f>SUM('09'!E31)/'09'!H31</f>
        <v>14101.715930232558</v>
      </c>
      <c r="F14" s="508">
        <f>RANK(E14,E5:E25,1)</f>
        <v>2</v>
      </c>
      <c r="H14" s="51">
        <f t="shared" si="0"/>
        <v>6</v>
      </c>
    </row>
    <row r="15" spans="1:8" x14ac:dyDescent="0.25">
      <c r="A15" s="10">
        <v>11</v>
      </c>
      <c r="B15" s="492" t="s">
        <v>82</v>
      </c>
      <c r="C15" s="517">
        <f>SUM('10'!H31)/'10'!G31*100</f>
        <v>86.659064994298745</v>
      </c>
      <c r="D15" s="505">
        <f>RANK(C15,C5:C25,0)</f>
        <v>13</v>
      </c>
      <c r="E15" s="514">
        <f>SUM('10'!E31)/'10'!H31</f>
        <v>18575.865236842103</v>
      </c>
      <c r="F15" s="508">
        <f>RANK(E15,E5:E25,1)</f>
        <v>15</v>
      </c>
      <c r="H15" s="51">
        <f t="shared" si="0"/>
        <v>-2</v>
      </c>
    </row>
    <row r="16" spans="1:8" x14ac:dyDescent="0.25">
      <c r="A16" s="10">
        <v>12</v>
      </c>
      <c r="B16" s="492" t="s">
        <v>83</v>
      </c>
      <c r="C16" s="517">
        <f>SUM('11'!H31)/'11'!G31*100</f>
        <v>87.966804979253112</v>
      </c>
      <c r="D16" s="505">
        <f>RANK(C16,C5:C25,0)</f>
        <v>9</v>
      </c>
      <c r="E16" s="514">
        <f>SUM('11'!E31)/'11'!H31</f>
        <v>13231.138650943396</v>
      </c>
      <c r="F16" s="508">
        <f>RANK(E16,E5:E25,1)</f>
        <v>1</v>
      </c>
      <c r="H16" s="51">
        <f t="shared" si="0"/>
        <v>8</v>
      </c>
    </row>
    <row r="17" spans="1:8" x14ac:dyDescent="0.25">
      <c r="A17" s="10">
        <v>13</v>
      </c>
      <c r="B17" s="492" t="s">
        <v>84</v>
      </c>
      <c r="C17" s="517">
        <f>SUM('12'!H31)/'12'!G31*100</f>
        <v>79.223125564588983</v>
      </c>
      <c r="D17" s="505">
        <f>RANK(C17,C5:C25,0)</f>
        <v>21</v>
      </c>
      <c r="E17" s="514">
        <f>SUM('12'!E31)/'12'!H31</f>
        <v>16566.092508551883</v>
      </c>
      <c r="F17" s="508">
        <f>RANK(E17,E5:E25,1)</f>
        <v>8</v>
      </c>
      <c r="H17" s="609">
        <f t="shared" si="0"/>
        <v>13</v>
      </c>
    </row>
    <row r="18" spans="1:8" x14ac:dyDescent="0.25">
      <c r="A18" s="10">
        <v>14</v>
      </c>
      <c r="B18" s="493" t="s">
        <v>97</v>
      </c>
      <c r="C18" s="517">
        <f>SUM('62'!H31)/'62'!G31*100</f>
        <v>87.815587266739854</v>
      </c>
      <c r="D18" s="505">
        <f>RANK(C18,C5:C25,0)</f>
        <v>10</v>
      </c>
      <c r="E18" s="514">
        <f>SUM('62'!E31)/'62'!H31</f>
        <v>17035.1973</v>
      </c>
      <c r="F18" s="508">
        <f>RANK(E18,E5:E25,1)</f>
        <v>10</v>
      </c>
      <c r="H18" s="51">
        <f t="shared" si="0"/>
        <v>0</v>
      </c>
    </row>
    <row r="19" spans="1:8" x14ac:dyDescent="0.25">
      <c r="A19" s="10">
        <v>15</v>
      </c>
      <c r="B19" s="492" t="s">
        <v>85</v>
      </c>
      <c r="C19" s="517">
        <f>SUM('14'!H31)/'14'!G31*100</f>
        <v>82.128013300083126</v>
      </c>
      <c r="D19" s="505">
        <f>RANK(C19,C5:C25,0)</f>
        <v>19</v>
      </c>
      <c r="E19" s="514">
        <f>SUM('14'!E31)/'14'!H31</f>
        <v>17175.652064777329</v>
      </c>
      <c r="F19" s="508">
        <f>RANK(E19,E5:E25,1)</f>
        <v>11</v>
      </c>
      <c r="H19" s="51">
        <f t="shared" si="0"/>
        <v>8</v>
      </c>
    </row>
    <row r="20" spans="1:8" x14ac:dyDescent="0.25">
      <c r="A20" s="10">
        <v>16</v>
      </c>
      <c r="B20" s="492" t="s">
        <v>86</v>
      </c>
      <c r="C20" s="517">
        <f>SUM('15'!H31)/'15'!G31*100</f>
        <v>83.935742971887549</v>
      </c>
      <c r="D20" s="505">
        <f>RANK(C20,C5:C25,0)</f>
        <v>18</v>
      </c>
      <c r="E20" s="514">
        <f>SUM('15'!E31)/'15'!H31</f>
        <v>19414.816953748006</v>
      </c>
      <c r="F20" s="508">
        <f>RANK(E20,E5:E25,1)</f>
        <v>18</v>
      </c>
      <c r="H20" s="51">
        <f t="shared" si="0"/>
        <v>0</v>
      </c>
    </row>
    <row r="21" spans="1:8" x14ac:dyDescent="0.25">
      <c r="A21" s="10">
        <v>17</v>
      </c>
      <c r="B21" s="493" t="s">
        <v>87</v>
      </c>
      <c r="C21" s="517">
        <f>SUM('63'!H31)/'63'!G31*100</f>
        <v>80.923913043478251</v>
      </c>
      <c r="D21" s="505">
        <f>RANK(C21,C5:C25,0)</f>
        <v>20</v>
      </c>
      <c r="E21" s="514">
        <f>SUM('63'!E31)/'63'!H31</f>
        <v>20138.56112827401</v>
      </c>
      <c r="F21" s="508">
        <f>RANK(E21,E5:E25,1)</f>
        <v>19</v>
      </c>
      <c r="H21" s="51">
        <f t="shared" si="0"/>
        <v>1</v>
      </c>
    </row>
    <row r="22" spans="1:8" x14ac:dyDescent="0.25">
      <c r="A22" s="10">
        <v>18</v>
      </c>
      <c r="B22" s="492" t="s">
        <v>88</v>
      </c>
      <c r="C22" s="517">
        <f>SUM('17'!H31)/'17'!G31*100</f>
        <v>86.38968481375359</v>
      </c>
      <c r="D22" s="505">
        <f>RANK(C22,C5:C25,0)</f>
        <v>14</v>
      </c>
      <c r="E22" s="514">
        <f>SUM('17'!E31)/'17'!H31</f>
        <v>16035.483582089551</v>
      </c>
      <c r="F22" s="508">
        <f>RANK(E22,E5:E25,1)</f>
        <v>6</v>
      </c>
      <c r="H22" s="51">
        <f t="shared" si="0"/>
        <v>8</v>
      </c>
    </row>
    <row r="23" spans="1:8" ht="15" customHeight="1" x14ac:dyDescent="0.25">
      <c r="A23" s="10">
        <v>19</v>
      </c>
      <c r="B23" s="492" t="s">
        <v>89</v>
      </c>
      <c r="C23" s="517">
        <f>SUM('18'!H31)/'18'!G31*100</f>
        <v>84.444444444444443</v>
      </c>
      <c r="D23" s="505">
        <f>RANK(C23,C5:C25,0)</f>
        <v>17</v>
      </c>
      <c r="E23" s="514">
        <f>SUM('18'!E31)/'18'!H31</f>
        <v>14319.157492260059</v>
      </c>
      <c r="F23" s="508">
        <f>RANK(E23,E5:E25,1)</f>
        <v>3</v>
      </c>
      <c r="H23" s="609">
        <f t="shared" si="0"/>
        <v>14</v>
      </c>
    </row>
    <row r="24" spans="1:8" x14ac:dyDescent="0.25">
      <c r="A24" s="10">
        <v>20</v>
      </c>
      <c r="B24" s="492" t="s">
        <v>90</v>
      </c>
      <c r="C24" s="517">
        <f>SUM('19'!H31)/'19'!G31*100</f>
        <v>89.79187314172448</v>
      </c>
      <c r="D24" s="505">
        <f>RANK(C24,C5:C25,0)</f>
        <v>6</v>
      </c>
      <c r="E24" s="514">
        <f>SUM('19'!E31)/'19'!H31</f>
        <v>17991.299359823399</v>
      </c>
      <c r="F24" s="508">
        <f>RANK(E24,E5:E25,1)</f>
        <v>12</v>
      </c>
      <c r="H24" s="51">
        <f t="shared" si="0"/>
        <v>-6</v>
      </c>
    </row>
    <row r="25" spans="1:8" ht="15.75" thickBot="1" x14ac:dyDescent="0.3">
      <c r="A25" s="10">
        <v>21</v>
      </c>
      <c r="B25" s="494" t="s">
        <v>91</v>
      </c>
      <c r="C25" s="518">
        <f>SUM('20'!H31)/'20'!G31*100</f>
        <v>90.322580645161281</v>
      </c>
      <c r="D25" s="506">
        <f>RANK(C25,C5:C25,0)</f>
        <v>4</v>
      </c>
      <c r="E25" s="512">
        <f>SUM('20'!E31)/'20'!H31</f>
        <v>14618.767182539683</v>
      </c>
      <c r="F25" s="509">
        <f>RANK(E25,E5:E25,1)</f>
        <v>4</v>
      </c>
      <c r="H25" s="510">
        <f t="shared" si="0"/>
        <v>0</v>
      </c>
    </row>
    <row r="26" spans="1:8" x14ac:dyDescent="0.25">
      <c r="C26" s="482">
        <f>SUM('z22'!I32)</f>
        <v>86.64716272907927</v>
      </c>
      <c r="E26" s="482">
        <f>('22r'!J13/'22r'!F13)</f>
        <v>17604.605179970695</v>
      </c>
    </row>
    <row r="27" spans="1:8" x14ac:dyDescent="0.25">
      <c r="C27" s="483">
        <f>SUM('01'!G31,'02'!G31,'03'!G31,'04'!G31,'05'!G31,'06'!G31,'07'!G31,'08'!G31,'09'!G31,'10'!G31,'11'!G31,'12'!G31,'14'!G31,'15'!G31,'17'!G31,'18'!G31,'19'!G31,'20'!G31,'21'!G31,'62'!G31,'63'!G31)</f>
        <v>18116</v>
      </c>
      <c r="E27" s="483">
        <f>SUM('01'!E31,'02'!E31,'03'!E31,'04'!E31,'05'!E31,'06'!E31,'07'!E31,'08'!E31,'09'!E31,'10'!E31,'11'!E31,'12'!E31,'14'!E31,'15'!E31,'17'!E31,'18'!E31,'19'!E31,'20'!E31,'21'!E31,'62'!E31,'63'!E31)</f>
        <v>276339487.50999999</v>
      </c>
    </row>
    <row r="28" spans="1:8" x14ac:dyDescent="0.25">
      <c r="C28" s="483">
        <f>SUM('01'!H31,'02'!H31,'03'!H31,'04'!H31,'05'!H31,'06'!H31,'07'!H31,'08'!H31,'09'!H31,'10'!H31,'11'!H31,'12'!H31,'14'!H31,'15'!H31,'17'!H31,'18'!H31,'19'!H31,'20'!H31,'21'!H31,'62'!H31,'63'!H31)</f>
        <v>15697</v>
      </c>
      <c r="E28" s="483">
        <f>SUM('01'!H31,'02'!H31,'03'!H31,'04'!H31,'05'!H31,'06'!H31,'07'!H31,'08'!H31,'09'!H31,'10'!H31,'11'!H31,'12'!H31,'14'!H31,'15'!H31,'17'!H31,'18'!H31,'19'!H31,'20'!H31,'21'!H31,'62'!H31,'63'!H31)</f>
        <v>15697</v>
      </c>
    </row>
    <row r="29" spans="1:8" x14ac:dyDescent="0.25">
      <c r="C29" s="487">
        <f>SUM(C28/C27)*100</f>
        <v>86.64716272907927</v>
      </c>
      <c r="E29" s="487">
        <f>SUM(E27)/E28</f>
        <v>17604.605179970695</v>
      </c>
    </row>
    <row r="30" spans="1:8" ht="15.75" thickBot="1" x14ac:dyDescent="0.3">
      <c r="C30" s="486" t="s">
        <v>390</v>
      </c>
      <c r="E30" s="486" t="s">
        <v>390</v>
      </c>
    </row>
    <row r="31" spans="1:8" x14ac:dyDescent="0.25">
      <c r="C31" s="484">
        <f>SUM('z22'!I35)</f>
        <v>86.886017680598414</v>
      </c>
      <c r="E31" s="484">
        <f>SUM('22r'!J14)/'22r'!F14</f>
        <v>17253.479125827813</v>
      </c>
    </row>
    <row r="32" spans="1:8" x14ac:dyDescent="0.25">
      <c r="C32" s="485">
        <f>SUM('01'!G34,'02'!G34,'03'!G34,'04'!G34,'05'!G34,'06'!G34,'07'!G34,'08'!G34,'09'!G34,'10'!G34,'11'!G34,'12'!G34,'14'!G34,'15'!G34,'17'!G34,'18'!G34,'19'!G34,'20'!G34,'21'!G34,'62'!G34,'63'!G34)</f>
        <v>19117</v>
      </c>
      <c r="E32" s="485">
        <f>SUM('01'!E34,'02'!E34,'03'!E34,'04'!E34,'05'!E34,'06'!E34,'07'!E34,'08'!E34,'09'!E34,'10'!E34,'11'!E34,'12'!E34,'14'!E34,'15'!E34,'17'!E34,'18'!E34,'19'!E34,'20'!E34,'21'!E34,'62'!E34,'63'!E34)</f>
        <v>286580288.28000003</v>
      </c>
    </row>
    <row r="33" spans="3:5" x14ac:dyDescent="0.25">
      <c r="C33" s="485">
        <f>SUM('01'!H34,'02'!H34,'03'!H34,'04'!H34,'05'!H34,'06'!H34,'07'!H34,'08'!H34,'09'!H34,'10'!H34,'11'!H34,'12'!H34,'14'!H34,'15'!H34,'17'!H34,'18'!H34,'19'!H34,'20'!H34,'21'!H34,'62'!H34,'63'!H34)</f>
        <v>16610</v>
      </c>
      <c r="E33" s="485">
        <f>SUM('01'!H34,'02'!H34,'03'!H34,'04'!H34,'05'!H34,'06'!H34,'07'!H34,'08'!H34,'09'!H34,'10'!H34,'11'!H34,'12'!H34,'14'!H34,'15'!H34,'17'!H34,'18'!H34,'19'!H34,'20'!H34,'21'!H34,'62'!H34,'63'!H34)</f>
        <v>16610</v>
      </c>
    </row>
    <row r="34" spans="3:5" x14ac:dyDescent="0.25">
      <c r="C34" s="488">
        <f>SUM(C33/C32)*100</f>
        <v>86.886017680598414</v>
      </c>
      <c r="E34" s="488">
        <f>SUM(E32)/E33</f>
        <v>17253.479125827816</v>
      </c>
    </row>
    <row r="35" spans="3:5" ht="15.75" thickBot="1" x14ac:dyDescent="0.3">
      <c r="C35" s="489" t="s">
        <v>391</v>
      </c>
      <c r="E35" s="490" t="s">
        <v>389</v>
      </c>
    </row>
  </sheetData>
  <mergeCells count="3">
    <mergeCell ref="B2:B3"/>
    <mergeCell ref="D2:D3"/>
    <mergeCell ref="F2:F3"/>
  </mergeCells>
  <pageMargins left="0.7" right="0.7" top="0.75" bottom="0.75" header="0.3" footer="0.3"/>
  <pageSetup paperSize="9" scale="7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B1:L13"/>
  <sheetViews>
    <sheetView zoomScale="120" zoomScaleNormal="120" workbookViewId="0">
      <selection activeCell="B1" sqref="B1"/>
    </sheetView>
  </sheetViews>
  <sheetFormatPr defaultRowHeight="12" x14ac:dyDescent="0.2"/>
  <cols>
    <col min="1" max="1" width="2.28515625" style="33" customWidth="1"/>
    <col min="2" max="2" width="45.140625" style="33" customWidth="1"/>
    <col min="3" max="3" width="5.85546875" style="33" customWidth="1"/>
    <col min="4" max="4" width="5.42578125" style="33" customWidth="1"/>
    <col min="5" max="5" width="5.5703125" style="33" customWidth="1"/>
    <col min="6" max="6" width="4.7109375" style="33" customWidth="1"/>
    <col min="7" max="7" width="5" style="33" customWidth="1"/>
    <col min="8" max="8" width="4.85546875" style="33" customWidth="1"/>
    <col min="9" max="10" width="5" style="33" customWidth="1"/>
    <col min="11" max="11" width="8.5703125" style="33" customWidth="1"/>
    <col min="12" max="16384" width="9.140625" style="33"/>
  </cols>
  <sheetData>
    <row r="1" spans="2:12" x14ac:dyDescent="0.2">
      <c r="B1" s="33" t="s">
        <v>382</v>
      </c>
    </row>
    <row r="2" spans="2:12" x14ac:dyDescent="0.2">
      <c r="B2" s="625" t="s">
        <v>168</v>
      </c>
      <c r="C2" s="627" t="s">
        <v>169</v>
      </c>
      <c r="D2" s="628"/>
      <c r="E2" s="628"/>
      <c r="F2" s="628"/>
      <c r="G2" s="628"/>
      <c r="H2" s="628"/>
      <c r="I2" s="628"/>
      <c r="J2" s="629"/>
      <c r="K2" s="361" t="s">
        <v>170</v>
      </c>
      <c r="L2" s="361" t="s">
        <v>170</v>
      </c>
    </row>
    <row r="3" spans="2:12" x14ac:dyDescent="0.2">
      <c r="B3" s="625"/>
      <c r="C3" s="630"/>
      <c r="D3" s="631"/>
      <c r="E3" s="631"/>
      <c r="F3" s="631"/>
      <c r="G3" s="631"/>
      <c r="H3" s="631"/>
      <c r="I3" s="631"/>
      <c r="J3" s="632"/>
      <c r="K3" s="362" t="s">
        <v>171</v>
      </c>
      <c r="L3" s="362" t="s">
        <v>171</v>
      </c>
    </row>
    <row r="4" spans="2:12" ht="24" x14ac:dyDescent="0.2">
      <c r="B4" s="626"/>
      <c r="C4" s="363">
        <v>2015</v>
      </c>
      <c r="D4" s="363">
        <v>2016</v>
      </c>
      <c r="E4" s="363">
        <v>2017</v>
      </c>
      <c r="F4" s="363">
        <v>2018</v>
      </c>
      <c r="G4" s="363">
        <v>2019</v>
      </c>
      <c r="H4" s="363">
        <v>2020</v>
      </c>
      <c r="I4" s="363">
        <v>2021</v>
      </c>
      <c r="J4" s="436">
        <v>2022</v>
      </c>
      <c r="K4" s="363" t="s">
        <v>300</v>
      </c>
      <c r="L4" s="363" t="s">
        <v>387</v>
      </c>
    </row>
    <row r="5" spans="2:12" x14ac:dyDescent="0.2">
      <c r="B5" s="58" t="s">
        <v>2</v>
      </c>
      <c r="C5" s="57">
        <v>41.4</v>
      </c>
      <c r="D5" s="57">
        <v>50.5</v>
      </c>
      <c r="E5" s="59">
        <v>64.5</v>
      </c>
      <c r="F5" s="57">
        <v>69.599999999999994</v>
      </c>
      <c r="G5" s="57">
        <v>75.099999999999994</v>
      </c>
      <c r="H5" s="57">
        <v>65.599999999999994</v>
      </c>
      <c r="I5" s="60">
        <v>66</v>
      </c>
      <c r="J5" s="60">
        <f>SUM('2'!D25)</f>
        <v>52.031978680879412</v>
      </c>
      <c r="K5" s="60">
        <f t="shared" ref="K5:K13" si="0">SUM(J5-C5)</f>
        <v>10.631978680879413</v>
      </c>
      <c r="L5" s="279">
        <f t="shared" ref="L5:L13" si="1">SUM(J5-I5)</f>
        <v>-13.968021319120588</v>
      </c>
    </row>
    <row r="6" spans="2:12" x14ac:dyDescent="0.2">
      <c r="B6" s="58" t="s">
        <v>1</v>
      </c>
      <c r="C6" s="57">
        <v>78.2</v>
      </c>
      <c r="D6" s="57">
        <v>81.900000000000006</v>
      </c>
      <c r="E6" s="59">
        <v>84.5</v>
      </c>
      <c r="F6" s="57">
        <v>85.2</v>
      </c>
      <c r="G6" s="57">
        <v>85.2</v>
      </c>
      <c r="H6" s="57">
        <v>82.1</v>
      </c>
      <c r="I6" s="60">
        <v>85.9</v>
      </c>
      <c r="J6" s="60">
        <f>SUM('1'!C25)</f>
        <v>85.071629401526309</v>
      </c>
      <c r="K6" s="60">
        <f t="shared" si="0"/>
        <v>6.871629401526306</v>
      </c>
      <c r="L6" s="279">
        <f t="shared" si="1"/>
        <v>-0.82837059847369687</v>
      </c>
    </row>
    <row r="7" spans="2:12" x14ac:dyDescent="0.2">
      <c r="B7" s="58" t="s">
        <v>3</v>
      </c>
      <c r="C7" s="57">
        <v>88.1</v>
      </c>
      <c r="D7" s="57">
        <v>86.3</v>
      </c>
      <c r="E7" s="59">
        <v>90.5</v>
      </c>
      <c r="F7" s="57">
        <v>93.2</v>
      </c>
      <c r="G7" s="57">
        <v>93.6</v>
      </c>
      <c r="H7" s="57">
        <v>94.1</v>
      </c>
      <c r="I7" s="60">
        <v>94.5</v>
      </c>
      <c r="J7" s="60">
        <f>SUM('3'!E25)</f>
        <v>93.357320786050366</v>
      </c>
      <c r="K7" s="60">
        <f t="shared" si="0"/>
        <v>5.2573207860503715</v>
      </c>
      <c r="L7" s="279">
        <f t="shared" si="1"/>
        <v>-1.1426792139496342</v>
      </c>
    </row>
    <row r="8" spans="2:12" x14ac:dyDescent="0.2">
      <c r="B8" s="58" t="s">
        <v>4</v>
      </c>
      <c r="C8" s="57">
        <v>79.099999999999994</v>
      </c>
      <c r="D8" s="57">
        <v>85.9</v>
      </c>
      <c r="E8" s="59">
        <v>91.7</v>
      </c>
      <c r="F8" s="57">
        <v>94.2</v>
      </c>
      <c r="G8" s="57">
        <v>94.5</v>
      </c>
      <c r="H8" s="60">
        <v>92</v>
      </c>
      <c r="I8" s="60">
        <v>95.3</v>
      </c>
      <c r="J8" s="60">
        <f>SUM('4'!F25)</f>
        <v>94.23585404547859</v>
      </c>
      <c r="K8" s="60">
        <f t="shared" si="0"/>
        <v>15.135854045478595</v>
      </c>
      <c r="L8" s="279">
        <f t="shared" si="1"/>
        <v>-1.0641459545214076</v>
      </c>
    </row>
    <row r="9" spans="2:12" x14ac:dyDescent="0.2">
      <c r="B9" s="58" t="s">
        <v>58</v>
      </c>
      <c r="C9" s="57">
        <v>90.2</v>
      </c>
      <c r="D9" s="57">
        <v>94.6</v>
      </c>
      <c r="E9" s="59">
        <v>95.3</v>
      </c>
      <c r="F9" s="60">
        <v>97</v>
      </c>
      <c r="G9" s="57">
        <v>97.3</v>
      </c>
      <c r="H9" s="57">
        <v>98.7</v>
      </c>
      <c r="I9" s="60">
        <v>97.2</v>
      </c>
      <c r="J9" s="60">
        <f>('5'!G25)</f>
        <v>95.395869191049911</v>
      </c>
      <c r="K9" s="60">
        <f t="shared" si="0"/>
        <v>5.1958691910499084</v>
      </c>
      <c r="L9" s="279">
        <f t="shared" si="1"/>
        <v>-1.8041308089500916</v>
      </c>
    </row>
    <row r="10" spans="2:12" ht="14.25" customHeight="1" x14ac:dyDescent="0.2">
      <c r="B10" s="58" t="s">
        <v>59</v>
      </c>
      <c r="C10" s="57">
        <v>73.900000000000006</v>
      </c>
      <c r="D10" s="57">
        <v>81.7</v>
      </c>
      <c r="E10" s="59">
        <v>86.7</v>
      </c>
      <c r="F10" s="57">
        <v>90.2</v>
      </c>
      <c r="G10" s="57">
        <v>91.5</v>
      </c>
      <c r="H10" s="57">
        <v>91.4</v>
      </c>
      <c r="I10" s="60">
        <v>90.9</v>
      </c>
      <c r="J10" s="60">
        <f>SUM('6'!H25)</f>
        <v>90.28831562974203</v>
      </c>
      <c r="K10" s="60">
        <f t="shared" si="0"/>
        <v>16.388315629742024</v>
      </c>
      <c r="L10" s="279">
        <f t="shared" si="1"/>
        <v>-0.61168437025797573</v>
      </c>
    </row>
    <row r="11" spans="2:12" ht="12" customHeight="1" x14ac:dyDescent="0.2">
      <c r="B11" s="58" t="s">
        <v>11</v>
      </c>
      <c r="C11" s="60">
        <f>(('z15'!H17/'z15'!G17)*100)</f>
        <v>92.565055762081784</v>
      </c>
      <c r="D11" s="60">
        <f>(('z16'!H17/'z16'!G17)*100)</f>
        <v>90.758620689655174</v>
      </c>
      <c r="E11" s="227">
        <f>(('z17'!H17/'z17'!G17)*100)</f>
        <v>91.739894551845353</v>
      </c>
      <c r="F11" s="60">
        <f>(('z18'!H17/'z18'!G17)*100)</f>
        <v>92.929292929292927</v>
      </c>
      <c r="G11" s="60">
        <f>(('z19'!H17/'z19'!G17)*100)</f>
        <v>92.218798151001536</v>
      </c>
      <c r="H11" s="60">
        <f>(('z20'!H17/'z20'!G17)*100)</f>
        <v>92.281879194630861</v>
      </c>
      <c r="I11" s="60">
        <f>(('z21'!H17/'z21'!G17)*100)</f>
        <v>94.529540481400446</v>
      </c>
      <c r="J11" s="60">
        <f>SUM('7'!I25)</f>
        <v>91.208791208791212</v>
      </c>
      <c r="K11" s="279">
        <f t="shared" si="0"/>
        <v>-1.3562645532905719</v>
      </c>
      <c r="L11" s="279">
        <f t="shared" si="1"/>
        <v>-3.320749272609234</v>
      </c>
    </row>
    <row r="12" spans="2:12" ht="12" customHeight="1" x14ac:dyDescent="0.2">
      <c r="B12" s="364" t="s">
        <v>305</v>
      </c>
      <c r="C12" s="365">
        <v>74.3</v>
      </c>
      <c r="D12" s="365">
        <v>80.599999999999994</v>
      </c>
      <c r="E12" s="365">
        <v>86.1</v>
      </c>
      <c r="F12" s="365">
        <v>88.2</v>
      </c>
      <c r="G12" s="365">
        <v>89.2</v>
      </c>
      <c r="H12" s="365">
        <v>88.5</v>
      </c>
      <c r="I12" s="365">
        <v>89.2</v>
      </c>
      <c r="J12" s="365">
        <f>SUM('z22'!I32)</f>
        <v>86.64716272907927</v>
      </c>
      <c r="K12" s="366">
        <f t="shared" si="0"/>
        <v>12.347162729079272</v>
      </c>
      <c r="L12" s="481">
        <f t="shared" si="1"/>
        <v>-2.5528372709207332</v>
      </c>
    </row>
    <row r="13" spans="2:12" x14ac:dyDescent="0.2">
      <c r="B13" s="364" t="s">
        <v>301</v>
      </c>
      <c r="C13" s="367">
        <v>74.5</v>
      </c>
      <c r="D13" s="367">
        <v>80.8</v>
      </c>
      <c r="E13" s="367">
        <v>86.4</v>
      </c>
      <c r="F13" s="367">
        <v>88.4</v>
      </c>
      <c r="G13" s="367">
        <v>89.4</v>
      </c>
      <c r="H13" s="367">
        <v>88.8</v>
      </c>
      <c r="I13" s="365">
        <v>89.5</v>
      </c>
      <c r="J13" s="365">
        <f>SUM('z22'!I35)</f>
        <v>86.886017680598414</v>
      </c>
      <c r="K13" s="366">
        <f t="shared" si="0"/>
        <v>12.386017680598414</v>
      </c>
      <c r="L13" s="481">
        <f t="shared" si="1"/>
        <v>-2.6139823194015861</v>
      </c>
    </row>
  </sheetData>
  <mergeCells count="2">
    <mergeCell ref="B2:B4"/>
    <mergeCell ref="C2:J3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8436D-0A57-414C-A5CE-68ACBA5D9928}">
  <dimension ref="B2:L20"/>
  <sheetViews>
    <sheetView workbookViewId="0">
      <selection activeCell="B1" sqref="B1"/>
    </sheetView>
  </sheetViews>
  <sheetFormatPr defaultRowHeight="12" x14ac:dyDescent="0.2"/>
  <cols>
    <col min="1" max="1" width="3.5703125" style="573" customWidth="1"/>
    <col min="2" max="2" width="26.140625" style="573" customWidth="1"/>
    <col min="3" max="3" width="7.7109375" style="573" customWidth="1"/>
    <col min="4" max="4" width="7.28515625" style="573" customWidth="1"/>
    <col min="5" max="5" width="6.7109375" style="573" customWidth="1"/>
    <col min="6" max="6" width="8" style="573" customWidth="1"/>
    <col min="7" max="7" width="7.5703125" style="573" customWidth="1"/>
    <col min="8" max="8" width="7.85546875" style="573" customWidth="1"/>
    <col min="9" max="9" width="8" style="573" customWidth="1"/>
    <col min="10" max="10" width="7.5703125" style="573" customWidth="1"/>
    <col min="11" max="11" width="15.85546875" style="573" customWidth="1"/>
    <col min="12" max="12" width="17.28515625" style="573" customWidth="1"/>
    <col min="13" max="16384" width="9.140625" style="573"/>
  </cols>
  <sheetData>
    <row r="2" spans="2:12" x14ac:dyDescent="0.2">
      <c r="B2" s="635" t="s">
        <v>168</v>
      </c>
      <c r="C2" s="635" t="s">
        <v>169</v>
      </c>
      <c r="D2" s="635"/>
      <c r="E2" s="635"/>
      <c r="F2" s="635"/>
      <c r="G2" s="635"/>
      <c r="H2" s="635"/>
      <c r="I2" s="635"/>
      <c r="J2" s="635"/>
      <c r="K2" s="584" t="s">
        <v>170</v>
      </c>
      <c r="L2" s="584" t="s">
        <v>170</v>
      </c>
    </row>
    <row r="3" spans="2:12" x14ac:dyDescent="0.2">
      <c r="B3" s="635"/>
      <c r="C3" s="635"/>
      <c r="D3" s="635"/>
      <c r="E3" s="635"/>
      <c r="F3" s="635"/>
      <c r="G3" s="635"/>
      <c r="H3" s="635"/>
      <c r="I3" s="635"/>
      <c r="J3" s="635"/>
      <c r="K3" s="585" t="s">
        <v>171</v>
      </c>
      <c r="L3" s="585" t="s">
        <v>171</v>
      </c>
    </row>
    <row r="4" spans="2:12" x14ac:dyDescent="0.2">
      <c r="B4" s="635"/>
      <c r="C4" s="635"/>
      <c r="D4" s="635"/>
      <c r="E4" s="635"/>
      <c r="F4" s="635"/>
      <c r="G4" s="635"/>
      <c r="H4" s="635"/>
      <c r="I4" s="635"/>
      <c r="J4" s="635"/>
      <c r="K4" s="585" t="s">
        <v>405</v>
      </c>
      <c r="L4" s="585" t="s">
        <v>405</v>
      </c>
    </row>
    <row r="5" spans="2:12" x14ac:dyDescent="0.2">
      <c r="B5" s="635"/>
      <c r="C5" s="576">
        <v>15</v>
      </c>
      <c r="D5" s="576">
        <v>16</v>
      </c>
      <c r="E5" s="576">
        <v>17</v>
      </c>
      <c r="F5" s="576">
        <v>18</v>
      </c>
      <c r="G5" s="576">
        <v>19</v>
      </c>
      <c r="H5" s="576">
        <v>20</v>
      </c>
      <c r="I5" s="576">
        <v>21</v>
      </c>
      <c r="J5" s="587">
        <v>22</v>
      </c>
      <c r="K5" s="586" t="s">
        <v>406</v>
      </c>
      <c r="L5" s="586" t="s">
        <v>416</v>
      </c>
    </row>
    <row r="6" spans="2:12" ht="27.75" customHeight="1" x14ac:dyDescent="0.2">
      <c r="B6" s="574" t="s">
        <v>2</v>
      </c>
      <c r="C6" s="582">
        <v>41.4</v>
      </c>
      <c r="D6" s="582">
        <v>50.5</v>
      </c>
      <c r="E6" s="582">
        <v>64.5</v>
      </c>
      <c r="F6" s="582">
        <v>69.599999999999994</v>
      </c>
      <c r="G6" s="582">
        <v>75.099999999999994</v>
      </c>
      <c r="H6" s="582">
        <v>65.599999999999994</v>
      </c>
      <c r="I6" s="582">
        <v>66</v>
      </c>
      <c r="J6" s="588">
        <v>52</v>
      </c>
      <c r="K6" s="582">
        <f>SUM(J6)-C6</f>
        <v>10.600000000000001</v>
      </c>
      <c r="L6" s="582">
        <f>SUM(J6)-I6</f>
        <v>-14</v>
      </c>
    </row>
    <row r="7" spans="2:12" ht="21.75" customHeight="1" x14ac:dyDescent="0.2">
      <c r="B7" s="574" t="s">
        <v>1</v>
      </c>
      <c r="C7" s="582">
        <v>78.2</v>
      </c>
      <c r="D7" s="582">
        <v>81.900000000000006</v>
      </c>
      <c r="E7" s="582">
        <v>84.5</v>
      </c>
      <c r="F7" s="582">
        <v>85.2</v>
      </c>
      <c r="G7" s="582">
        <v>85.2</v>
      </c>
      <c r="H7" s="582">
        <v>82.1</v>
      </c>
      <c r="I7" s="582">
        <v>85.9</v>
      </c>
      <c r="J7" s="588">
        <v>85.1</v>
      </c>
      <c r="K7" s="582">
        <f t="shared" ref="K7:K20" si="0">SUM(J7)-C7</f>
        <v>6.8999999999999915</v>
      </c>
      <c r="L7" s="582">
        <f>SUM(J7)-I7</f>
        <v>-0.80000000000001137</v>
      </c>
    </row>
    <row r="8" spans="2:12" ht="23.25" customHeight="1" x14ac:dyDescent="0.2">
      <c r="B8" s="574" t="s">
        <v>3</v>
      </c>
      <c r="C8" s="582">
        <v>88.1</v>
      </c>
      <c r="D8" s="582">
        <v>86.3</v>
      </c>
      <c r="E8" s="582">
        <v>90.5</v>
      </c>
      <c r="F8" s="582">
        <v>93.2</v>
      </c>
      <c r="G8" s="582">
        <v>93.6</v>
      </c>
      <c r="H8" s="582">
        <v>94.1</v>
      </c>
      <c r="I8" s="582">
        <v>94.5</v>
      </c>
      <c r="J8" s="588">
        <v>93.4</v>
      </c>
      <c r="K8" s="582">
        <f t="shared" si="0"/>
        <v>5.3000000000000114</v>
      </c>
      <c r="L8" s="582">
        <f>SUM(J8)-I8</f>
        <v>-1.0999999999999943</v>
      </c>
    </row>
    <row r="9" spans="2:12" ht="26.25" customHeight="1" x14ac:dyDescent="0.2">
      <c r="B9" s="574" t="s">
        <v>4</v>
      </c>
      <c r="C9" s="582">
        <v>79.099999999999994</v>
      </c>
      <c r="D9" s="582">
        <v>85.9</v>
      </c>
      <c r="E9" s="582">
        <v>91.7</v>
      </c>
      <c r="F9" s="582">
        <v>94.2</v>
      </c>
      <c r="G9" s="582">
        <v>94.5</v>
      </c>
      <c r="H9" s="582">
        <v>92</v>
      </c>
      <c r="I9" s="582">
        <v>95.3</v>
      </c>
      <c r="J9" s="588">
        <v>94.2</v>
      </c>
      <c r="K9" s="582">
        <f t="shared" si="0"/>
        <v>15.100000000000009</v>
      </c>
      <c r="L9" s="582">
        <f>SUM(J9)-I9</f>
        <v>-1.0999999999999943</v>
      </c>
    </row>
    <row r="10" spans="2:12" x14ac:dyDescent="0.2">
      <c r="B10" s="579" t="s">
        <v>407</v>
      </c>
      <c r="C10" s="633">
        <v>90.2</v>
      </c>
      <c r="D10" s="633">
        <v>94.6</v>
      </c>
      <c r="E10" s="633">
        <v>95.3</v>
      </c>
      <c r="F10" s="633">
        <v>97</v>
      </c>
      <c r="G10" s="633">
        <v>97.3</v>
      </c>
      <c r="H10" s="633">
        <v>98.7</v>
      </c>
      <c r="I10" s="633">
        <v>97.2</v>
      </c>
      <c r="J10" s="634">
        <v>95.4</v>
      </c>
      <c r="K10" s="633">
        <f t="shared" si="0"/>
        <v>5.2000000000000028</v>
      </c>
      <c r="L10" s="633">
        <f>SUM(J10)-I10</f>
        <v>-1.7999999999999972</v>
      </c>
    </row>
    <row r="11" spans="2:12" x14ac:dyDescent="0.2">
      <c r="B11" s="580" t="s">
        <v>408</v>
      </c>
      <c r="C11" s="633"/>
      <c r="D11" s="633"/>
      <c r="E11" s="633"/>
      <c r="F11" s="633"/>
      <c r="G11" s="633"/>
      <c r="H11" s="633"/>
      <c r="I11" s="633"/>
      <c r="J11" s="634"/>
      <c r="K11" s="633">
        <f t="shared" si="0"/>
        <v>0</v>
      </c>
      <c r="L11" s="633">
        <f t="shared" ref="L11:L19" si="1">SUM(J11)-I11</f>
        <v>0</v>
      </c>
    </row>
    <row r="12" spans="2:12" x14ac:dyDescent="0.2">
      <c r="B12" s="579" t="s">
        <v>409</v>
      </c>
      <c r="C12" s="633">
        <v>73.900000000000006</v>
      </c>
      <c r="D12" s="633">
        <v>81.7</v>
      </c>
      <c r="E12" s="633">
        <v>86.7</v>
      </c>
      <c r="F12" s="633">
        <v>90.2</v>
      </c>
      <c r="G12" s="633">
        <v>91.5</v>
      </c>
      <c r="H12" s="633">
        <v>91.4</v>
      </c>
      <c r="I12" s="633">
        <v>90.9</v>
      </c>
      <c r="J12" s="634">
        <v>90.3</v>
      </c>
      <c r="K12" s="633">
        <f t="shared" si="0"/>
        <v>16.399999999999991</v>
      </c>
      <c r="L12" s="633">
        <f>SUM(J12)-I12</f>
        <v>-0.60000000000000853</v>
      </c>
    </row>
    <row r="13" spans="2:12" x14ac:dyDescent="0.2">
      <c r="B13" s="581" t="s">
        <v>410</v>
      </c>
      <c r="C13" s="633"/>
      <c r="D13" s="633"/>
      <c r="E13" s="633"/>
      <c r="F13" s="633"/>
      <c r="G13" s="633"/>
      <c r="H13" s="633"/>
      <c r="I13" s="633"/>
      <c r="J13" s="634"/>
      <c r="K13" s="633">
        <f t="shared" si="0"/>
        <v>0</v>
      </c>
      <c r="L13" s="633">
        <f t="shared" si="1"/>
        <v>0</v>
      </c>
    </row>
    <row r="14" spans="2:12" x14ac:dyDescent="0.2">
      <c r="B14" s="581" t="s">
        <v>411</v>
      </c>
      <c r="C14" s="633"/>
      <c r="D14" s="633"/>
      <c r="E14" s="633"/>
      <c r="F14" s="633"/>
      <c r="G14" s="633"/>
      <c r="H14" s="633"/>
      <c r="I14" s="633"/>
      <c r="J14" s="634"/>
      <c r="K14" s="633">
        <f t="shared" si="0"/>
        <v>0</v>
      </c>
      <c r="L14" s="633">
        <f t="shared" si="1"/>
        <v>0</v>
      </c>
    </row>
    <row r="15" spans="2:12" x14ac:dyDescent="0.2">
      <c r="B15" s="580" t="s">
        <v>412</v>
      </c>
      <c r="C15" s="633"/>
      <c r="D15" s="633"/>
      <c r="E15" s="633"/>
      <c r="F15" s="633"/>
      <c r="G15" s="633"/>
      <c r="H15" s="633"/>
      <c r="I15" s="633"/>
      <c r="J15" s="634"/>
      <c r="K15" s="633">
        <f t="shared" si="0"/>
        <v>0</v>
      </c>
      <c r="L15" s="633">
        <f t="shared" si="1"/>
        <v>0</v>
      </c>
    </row>
    <row r="16" spans="2:12" x14ac:dyDescent="0.2">
      <c r="B16" s="579" t="s">
        <v>413</v>
      </c>
      <c r="C16" s="636">
        <v>92.6</v>
      </c>
      <c r="D16" s="636">
        <v>90.8</v>
      </c>
      <c r="E16" s="636">
        <v>91.7</v>
      </c>
      <c r="F16" s="636">
        <v>92.9</v>
      </c>
      <c r="G16" s="636">
        <v>92.2</v>
      </c>
      <c r="H16" s="636">
        <v>92.3</v>
      </c>
      <c r="I16" s="636">
        <v>94.5</v>
      </c>
      <c r="J16" s="634">
        <v>91.2</v>
      </c>
      <c r="K16" s="636">
        <f t="shared" si="0"/>
        <v>-1.3999999999999915</v>
      </c>
      <c r="L16" s="636">
        <f>SUM(J16)-I16</f>
        <v>-3.2999999999999972</v>
      </c>
    </row>
    <row r="17" spans="2:12" x14ac:dyDescent="0.2">
      <c r="B17" s="580" t="s">
        <v>414</v>
      </c>
      <c r="C17" s="636"/>
      <c r="D17" s="636"/>
      <c r="E17" s="636"/>
      <c r="F17" s="636"/>
      <c r="G17" s="636"/>
      <c r="H17" s="636"/>
      <c r="I17" s="636"/>
      <c r="J17" s="634"/>
      <c r="K17" s="636">
        <f t="shared" si="0"/>
        <v>0</v>
      </c>
      <c r="L17" s="636">
        <f t="shared" si="1"/>
        <v>0</v>
      </c>
    </row>
    <row r="18" spans="2:12" x14ac:dyDescent="0.2">
      <c r="B18" s="577" t="s">
        <v>317</v>
      </c>
      <c r="C18" s="637">
        <v>74.3</v>
      </c>
      <c r="D18" s="637">
        <v>80.599999999999994</v>
      </c>
      <c r="E18" s="637">
        <v>86.1</v>
      </c>
      <c r="F18" s="637">
        <v>88.2</v>
      </c>
      <c r="G18" s="637">
        <v>89.2</v>
      </c>
      <c r="H18" s="637">
        <v>88.5</v>
      </c>
      <c r="I18" s="637">
        <v>89.2</v>
      </c>
      <c r="J18" s="634">
        <v>86.6</v>
      </c>
      <c r="K18" s="637">
        <f t="shared" si="0"/>
        <v>12.299999999999997</v>
      </c>
      <c r="L18" s="637">
        <f>SUM(J18)-I18</f>
        <v>-2.6000000000000085</v>
      </c>
    </row>
    <row r="19" spans="2:12" x14ac:dyDescent="0.2">
      <c r="B19" s="578" t="s">
        <v>415</v>
      </c>
      <c r="C19" s="637"/>
      <c r="D19" s="637"/>
      <c r="E19" s="637"/>
      <c r="F19" s="637"/>
      <c r="G19" s="637"/>
      <c r="H19" s="637"/>
      <c r="I19" s="637"/>
      <c r="J19" s="634"/>
      <c r="K19" s="637">
        <f t="shared" si="0"/>
        <v>0</v>
      </c>
      <c r="L19" s="637">
        <f t="shared" si="1"/>
        <v>0</v>
      </c>
    </row>
    <row r="20" spans="2:12" ht="24" x14ac:dyDescent="0.2">
      <c r="B20" s="575" t="s">
        <v>404</v>
      </c>
      <c r="C20" s="583">
        <v>74.5</v>
      </c>
      <c r="D20" s="583">
        <v>80.8</v>
      </c>
      <c r="E20" s="583">
        <v>86.4</v>
      </c>
      <c r="F20" s="583">
        <v>88.4</v>
      </c>
      <c r="G20" s="583">
        <v>89.4</v>
      </c>
      <c r="H20" s="583">
        <v>88.8</v>
      </c>
      <c r="I20" s="583">
        <v>89.5</v>
      </c>
      <c r="J20" s="588">
        <v>86.9</v>
      </c>
      <c r="K20" s="583">
        <f t="shared" si="0"/>
        <v>12.400000000000006</v>
      </c>
      <c r="L20" s="583">
        <f>SUM(J20)-I20</f>
        <v>-2.5999999999999943</v>
      </c>
    </row>
  </sheetData>
  <mergeCells count="42">
    <mergeCell ref="L10:L11"/>
    <mergeCell ref="L12:L15"/>
    <mergeCell ref="L16:L17"/>
    <mergeCell ref="L18:L19"/>
    <mergeCell ref="K10:K11"/>
    <mergeCell ref="K16:K17"/>
    <mergeCell ref="C18:C19"/>
    <mergeCell ref="D18:D19"/>
    <mergeCell ref="E18:E19"/>
    <mergeCell ref="F18:F19"/>
    <mergeCell ref="G18:G19"/>
    <mergeCell ref="H18:H19"/>
    <mergeCell ref="I18:I19"/>
    <mergeCell ref="C16:C17"/>
    <mergeCell ref="D16:D17"/>
    <mergeCell ref="E16:E17"/>
    <mergeCell ref="F16:F17"/>
    <mergeCell ref="G16:G17"/>
    <mergeCell ref="H16:H17"/>
    <mergeCell ref="J18:J19"/>
    <mergeCell ref="K18:K19"/>
    <mergeCell ref="E12:E15"/>
    <mergeCell ref="F12:F15"/>
    <mergeCell ref="G12:G15"/>
    <mergeCell ref="I16:I17"/>
    <mergeCell ref="J16:J17"/>
    <mergeCell ref="H12:H15"/>
    <mergeCell ref="I12:I15"/>
    <mergeCell ref="J12:J15"/>
    <mergeCell ref="K12:K15"/>
    <mergeCell ref="B2:B5"/>
    <mergeCell ref="C2:J4"/>
    <mergeCell ref="C10:C11"/>
    <mergeCell ref="D10:D11"/>
    <mergeCell ref="E10:E11"/>
    <mergeCell ref="F10:F11"/>
    <mergeCell ref="G10:G11"/>
    <mergeCell ref="H10:H11"/>
    <mergeCell ref="I10:I11"/>
    <mergeCell ref="J10:J11"/>
    <mergeCell ref="C12:C15"/>
    <mergeCell ref="D12:D1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2356-EEAB-4443-A282-168BC89CF152}">
  <dimension ref="B2:G14"/>
  <sheetViews>
    <sheetView workbookViewId="0">
      <selection activeCell="B1" sqref="B1"/>
    </sheetView>
  </sheetViews>
  <sheetFormatPr defaultRowHeight="14.25" x14ac:dyDescent="0.2"/>
  <cols>
    <col min="1" max="1" width="3.7109375" style="117" customWidth="1"/>
    <col min="2" max="2" width="28.5703125" style="117" customWidth="1"/>
    <col min="3" max="3" width="15.42578125" style="117" customWidth="1"/>
    <col min="4" max="4" width="15.140625" style="117" customWidth="1"/>
    <col min="5" max="5" width="10.85546875" style="117" customWidth="1"/>
    <col min="6" max="6" width="11.5703125" style="117" customWidth="1"/>
    <col min="7" max="16384" width="9.140625" style="117"/>
  </cols>
  <sheetData>
    <row r="2" spans="2:7" x14ac:dyDescent="0.2">
      <c r="B2" s="640" t="s">
        <v>397</v>
      </c>
      <c r="C2" s="641" t="s">
        <v>398</v>
      </c>
      <c r="D2" s="641"/>
      <c r="E2" s="641" t="s">
        <v>69</v>
      </c>
      <c r="F2" s="641"/>
    </row>
    <row r="3" spans="2:7" x14ac:dyDescent="0.2">
      <c r="B3" s="640"/>
      <c r="C3" s="641" t="s">
        <v>399</v>
      </c>
      <c r="D3" s="641"/>
      <c r="E3" s="641" t="s">
        <v>400</v>
      </c>
      <c r="F3" s="641"/>
    </row>
    <row r="4" spans="2:7" x14ac:dyDescent="0.2">
      <c r="B4" s="640"/>
      <c r="C4" s="562">
        <v>2021</v>
      </c>
      <c r="D4" s="562">
        <v>2022</v>
      </c>
      <c r="E4" s="562">
        <v>2021</v>
      </c>
      <c r="F4" s="562">
        <v>2022</v>
      </c>
    </row>
    <row r="5" spans="2:7" x14ac:dyDescent="0.2">
      <c r="B5" s="563" t="s">
        <v>2</v>
      </c>
      <c r="C5" s="564">
        <v>3462.5</v>
      </c>
      <c r="D5" s="564">
        <v>5662.51</v>
      </c>
      <c r="E5" s="567">
        <v>66</v>
      </c>
      <c r="F5" s="567">
        <v>52</v>
      </c>
      <c r="G5" s="570">
        <f>SUM(F5)-E5</f>
        <v>-14</v>
      </c>
    </row>
    <row r="6" spans="2:7" x14ac:dyDescent="0.2">
      <c r="B6" s="563" t="s">
        <v>1</v>
      </c>
      <c r="C6" s="564">
        <v>72411.5</v>
      </c>
      <c r="D6" s="564">
        <v>82696.33</v>
      </c>
      <c r="E6" s="567">
        <v>85.9</v>
      </c>
      <c r="F6" s="567">
        <v>85.1</v>
      </c>
      <c r="G6" s="569">
        <f>SUM(F6)-E6</f>
        <v>-0.80000000000001137</v>
      </c>
    </row>
    <row r="7" spans="2:7" x14ac:dyDescent="0.2">
      <c r="B7" s="563" t="s">
        <v>3</v>
      </c>
      <c r="C7" s="564">
        <v>25483.7</v>
      </c>
      <c r="D7" s="564">
        <v>29417.7</v>
      </c>
      <c r="E7" s="567">
        <v>94.5</v>
      </c>
      <c r="F7" s="567">
        <v>93.4</v>
      </c>
      <c r="G7" s="571">
        <f t="shared" ref="G7:G14" si="0">SUM(F7)-E7</f>
        <v>-1.0999999999999943</v>
      </c>
    </row>
    <row r="8" spans="2:7" x14ac:dyDescent="0.2">
      <c r="B8" s="563" t="s">
        <v>4</v>
      </c>
      <c r="C8" s="564">
        <v>20822.3</v>
      </c>
      <c r="D8" s="564">
        <v>30695.18</v>
      </c>
      <c r="E8" s="567">
        <v>95.3</v>
      </c>
      <c r="F8" s="567">
        <v>94.2</v>
      </c>
      <c r="G8" s="571">
        <f t="shared" si="0"/>
        <v>-1.0999999999999943</v>
      </c>
    </row>
    <row r="9" spans="2:7" ht="28.5" x14ac:dyDescent="0.2">
      <c r="B9" s="563" t="s">
        <v>58</v>
      </c>
      <c r="C9" s="564">
        <v>50336.9</v>
      </c>
      <c r="D9" s="564">
        <v>64698.14</v>
      </c>
      <c r="E9" s="567">
        <v>97.2</v>
      </c>
      <c r="F9" s="567">
        <v>95.4</v>
      </c>
      <c r="G9" s="571">
        <f t="shared" si="0"/>
        <v>-1.7999999999999972</v>
      </c>
    </row>
    <row r="10" spans="2:7" ht="28.5" x14ac:dyDescent="0.2">
      <c r="B10" s="563" t="s">
        <v>401</v>
      </c>
      <c r="C10" s="638">
        <v>42932.4</v>
      </c>
      <c r="D10" s="638">
        <v>63169.62</v>
      </c>
      <c r="E10" s="639">
        <v>90.9</v>
      </c>
      <c r="F10" s="639">
        <v>90.3</v>
      </c>
      <c r="G10" s="457">
        <f t="shared" si="0"/>
        <v>-0.60000000000000853</v>
      </c>
    </row>
    <row r="11" spans="2:7" ht="28.5" x14ac:dyDescent="0.2">
      <c r="B11" s="563" t="s">
        <v>402</v>
      </c>
      <c r="C11" s="638"/>
      <c r="D11" s="638"/>
      <c r="E11" s="639"/>
      <c r="F11" s="639"/>
      <c r="G11" s="457">
        <f t="shared" si="0"/>
        <v>0</v>
      </c>
    </row>
    <row r="12" spans="2:7" x14ac:dyDescent="0.2">
      <c r="B12" s="563" t="s">
        <v>11</v>
      </c>
      <c r="C12" s="564">
        <v>8086.5</v>
      </c>
      <c r="D12" s="564">
        <v>10240.799999999999</v>
      </c>
      <c r="E12" s="567">
        <v>94.5</v>
      </c>
      <c r="F12" s="567">
        <v>91.2</v>
      </c>
      <c r="G12" s="571">
        <f t="shared" si="0"/>
        <v>-3.2999999999999972</v>
      </c>
    </row>
    <row r="13" spans="2:7" ht="28.5" x14ac:dyDescent="0.2">
      <c r="B13" s="565" t="s">
        <v>403</v>
      </c>
      <c r="C13" s="566">
        <v>215449.3</v>
      </c>
      <c r="D13" s="566">
        <v>276339.49</v>
      </c>
      <c r="E13" s="568">
        <v>89.2</v>
      </c>
      <c r="F13" s="568">
        <v>86.6</v>
      </c>
      <c r="G13" s="571">
        <f t="shared" si="0"/>
        <v>-2.6000000000000085</v>
      </c>
    </row>
    <row r="14" spans="2:7" ht="28.5" x14ac:dyDescent="0.2">
      <c r="B14" s="565" t="s">
        <v>404</v>
      </c>
      <c r="C14" s="566">
        <v>223535.8</v>
      </c>
      <c r="D14" s="566">
        <v>286580.28999999998</v>
      </c>
      <c r="E14" s="568">
        <v>89.5</v>
      </c>
      <c r="F14" s="568">
        <v>86.9</v>
      </c>
      <c r="G14" s="571">
        <f t="shared" si="0"/>
        <v>-2.5999999999999943</v>
      </c>
    </row>
  </sheetData>
  <mergeCells count="9">
    <mergeCell ref="C10:C11"/>
    <mergeCell ref="D10:D11"/>
    <mergeCell ref="E10:E11"/>
    <mergeCell ref="F10:F11"/>
    <mergeCell ref="B2:B4"/>
    <mergeCell ref="C2:D2"/>
    <mergeCell ref="C3:D3"/>
    <mergeCell ref="E2:F2"/>
    <mergeCell ref="E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0">
    <tabColor theme="5" tint="-0.249977111117893"/>
  </sheetPr>
  <dimension ref="A1:D25"/>
  <sheetViews>
    <sheetView zoomScale="120" zoomScaleNormal="120" workbookViewId="0">
      <selection activeCell="B1" sqref="B1"/>
    </sheetView>
  </sheetViews>
  <sheetFormatPr defaultRowHeight="12" x14ac:dyDescent="0.2"/>
  <cols>
    <col min="1" max="1" width="2.140625" style="32" customWidth="1"/>
    <col min="2" max="2" width="46.7109375" style="33" customWidth="1"/>
    <col min="3" max="3" width="11.7109375" style="33" customWidth="1"/>
    <col min="4" max="4" width="5.5703125" style="33" customWidth="1"/>
    <col min="5" max="5" width="2.5703125" style="33" customWidth="1"/>
    <col min="6" max="6" width="44.5703125" style="33" customWidth="1"/>
    <col min="7" max="7" width="12.7109375" style="33" customWidth="1"/>
    <col min="8" max="16384" width="9.140625" style="33"/>
  </cols>
  <sheetData>
    <row r="1" spans="2:4" ht="12.75" customHeight="1" x14ac:dyDescent="0.2">
      <c r="B1" s="33" t="s">
        <v>424</v>
      </c>
    </row>
    <row r="2" spans="2:4" ht="15" customHeight="1" x14ac:dyDescent="0.2">
      <c r="B2" s="466" t="s">
        <v>56</v>
      </c>
      <c r="C2" s="466" t="s">
        <v>69</v>
      </c>
      <c r="D2" s="466" t="s">
        <v>71</v>
      </c>
    </row>
    <row r="3" spans="2:4" ht="10.5" customHeight="1" x14ac:dyDescent="0.2">
      <c r="B3" s="465" t="s">
        <v>57</v>
      </c>
      <c r="C3" s="465" t="s">
        <v>102</v>
      </c>
      <c r="D3" s="465"/>
    </row>
    <row r="4" spans="2:4" x14ac:dyDescent="0.2">
      <c r="B4" s="467"/>
      <c r="C4" s="464" t="s">
        <v>238</v>
      </c>
      <c r="D4" s="464"/>
    </row>
    <row r="5" spans="2:4" ht="12.75" customHeight="1" x14ac:dyDescent="0.2">
      <c r="B5" s="34" t="s">
        <v>1</v>
      </c>
      <c r="C5" s="35">
        <f>SUM(P__!U50)</f>
        <v>85.071629401526309</v>
      </c>
      <c r="D5" s="38">
        <f>RANK(C5,C5:C13)</f>
        <v>8</v>
      </c>
    </row>
    <row r="6" spans="2:4" ht="12.75" customHeight="1" x14ac:dyDescent="0.2">
      <c r="B6" s="34" t="s">
        <v>2</v>
      </c>
      <c r="C6" s="35">
        <f>SUM(P__!V50)</f>
        <v>52.031978680879412</v>
      </c>
      <c r="D6" s="38">
        <f>RANK(C6,C5:C13)</f>
        <v>9</v>
      </c>
    </row>
    <row r="7" spans="2:4" ht="12" customHeight="1" x14ac:dyDescent="0.2">
      <c r="B7" s="34" t="s">
        <v>3</v>
      </c>
      <c r="C7" s="35">
        <f>SUM(P__!W50)</f>
        <v>93.357320786050366</v>
      </c>
      <c r="D7" s="38">
        <f>RANK(C7,C5:C13)</f>
        <v>3</v>
      </c>
    </row>
    <row r="8" spans="2:4" ht="15" customHeight="1" x14ac:dyDescent="0.2">
      <c r="B8" s="34" t="s">
        <v>4</v>
      </c>
      <c r="C8" s="35">
        <f>SUM(P__!X50)</f>
        <v>94.23585404547859</v>
      </c>
      <c r="D8" s="38">
        <f>RANK(C8,C5:C13)</f>
        <v>2</v>
      </c>
    </row>
    <row r="9" spans="2:4" ht="14.25" customHeight="1" x14ac:dyDescent="0.2">
      <c r="B9" s="34" t="s">
        <v>58</v>
      </c>
      <c r="C9" s="35">
        <f>SUM(P__!Y50)</f>
        <v>95.395869191049911</v>
      </c>
      <c r="D9" s="38">
        <f>RANK(C9,C5:C13)</f>
        <v>1</v>
      </c>
    </row>
    <row r="10" spans="2:4" ht="12" customHeight="1" x14ac:dyDescent="0.2">
      <c r="B10" s="34" t="s">
        <v>59</v>
      </c>
      <c r="C10" s="35">
        <f>SUM(P__!Z50)</f>
        <v>90.28831562974203</v>
      </c>
      <c r="D10" s="38">
        <f>RANK(C10,C5:C13)</f>
        <v>5</v>
      </c>
    </row>
    <row r="11" spans="2:4" ht="12" customHeight="1" x14ac:dyDescent="0.2">
      <c r="B11" s="34" t="s">
        <v>11</v>
      </c>
      <c r="C11" s="35">
        <f>SUM(P__!AA50)</f>
        <v>91.208791208791212</v>
      </c>
      <c r="D11" s="38">
        <f>RANK(C11,C5:C13)</f>
        <v>4</v>
      </c>
    </row>
    <row r="12" spans="2:4" ht="12.75" customHeight="1" x14ac:dyDescent="0.2">
      <c r="B12" s="225" t="s">
        <v>301</v>
      </c>
      <c r="C12" s="223">
        <f>SUM(P__!U24+P__!V24+P__!W24+P__!X24+P__!Y24+P__!Z24+P__!AA24)/(P__!L24+P__!M24+P__!N24+P__!O24+P__!P24+P__!Q24+P__!R24)*100</f>
        <v>86.886017680598414</v>
      </c>
      <c r="D12" s="224">
        <f>RANK(C12,C5:C13)</f>
        <v>6</v>
      </c>
    </row>
    <row r="13" spans="2:4" x14ac:dyDescent="0.2">
      <c r="B13" s="225" t="s">
        <v>305</v>
      </c>
      <c r="C13" s="223">
        <f>SUM(P__!U24+P__!V24+P__!W24+P__!X24+P__!Y24+P__!Z24)/(P__!L24+P__!M24+P__!N24+P__!O24+P__!P24+P__!Q24)*100</f>
        <v>86.64716272907927</v>
      </c>
      <c r="D13" s="224">
        <f>RANK(C13,C5:C13)</f>
        <v>7</v>
      </c>
    </row>
    <row r="15" spans="2:4" x14ac:dyDescent="0.2">
      <c r="B15" s="466" t="s">
        <v>56</v>
      </c>
      <c r="C15" s="466" t="s">
        <v>69</v>
      </c>
    </row>
    <row r="16" spans="2:4" x14ac:dyDescent="0.2">
      <c r="B16" s="465" t="s">
        <v>57</v>
      </c>
      <c r="C16" s="465" t="s">
        <v>102</v>
      </c>
    </row>
    <row r="17" spans="2:3" ht="14.25" customHeight="1" x14ac:dyDescent="0.2">
      <c r="B17" s="464"/>
      <c r="C17" s="464" t="s">
        <v>238</v>
      </c>
    </row>
    <row r="18" spans="2:3" ht="12" customHeight="1" x14ac:dyDescent="0.2">
      <c r="B18" s="36" t="str">
        <f>INDEX(B5:C13,MATCH(1,D5:D13,0),1)</f>
        <v>Dofinansowanie działalności gospodarczej</v>
      </c>
      <c r="C18" s="35">
        <f>INDEX(B5:C13,MATCH(1,D5:D13,0),2)</f>
        <v>95.395869191049911</v>
      </c>
    </row>
    <row r="19" spans="2:3" ht="12.75" customHeight="1" x14ac:dyDescent="0.2">
      <c r="B19" s="37" t="str">
        <f>INDEX(B5:C13,MATCH(2,D5:D13,0),1)</f>
        <v>Roboty publiczne</v>
      </c>
      <c r="C19" s="35">
        <f>INDEX(B5:C13,MATCH(2,D5:D13,0),2)</f>
        <v>94.23585404547859</v>
      </c>
    </row>
    <row r="20" spans="2:3" ht="12.75" customHeight="1" x14ac:dyDescent="0.2">
      <c r="B20" s="37" t="str">
        <f>INDEX(B5:C13,MATCH(3,D5:D13,0),1)</f>
        <v>Prace interwencyjne</v>
      </c>
      <c r="C20" s="35">
        <f>INDEX(B5:C13,MATCH(3,D5:D13,0),2)</f>
        <v>93.357320786050366</v>
      </c>
    </row>
    <row r="21" spans="2:3" ht="12" customHeight="1" x14ac:dyDescent="0.2">
      <c r="B21" s="37" t="str">
        <f>INDEX(B5:C13,MATCH(4,D5:D13,0),1)</f>
        <v>Bon na zasiedlenie</v>
      </c>
      <c r="C21" s="35">
        <f>INDEX(B5:C13,MATCH(4,D5:D13,0),2)</f>
        <v>91.208791208791212</v>
      </c>
    </row>
    <row r="22" spans="2:3" ht="11.25" customHeight="1" x14ac:dyDescent="0.2">
      <c r="B22" s="37" t="str">
        <f>INDEX(B5:C13,MATCH(5,D5:D13,0),1)</f>
        <v>Refundacja kosztów wyposażenia lub doposażenia miejsca pracy</v>
      </c>
      <c r="C22" s="35">
        <f>INDEX(B5:C13,MATCH(5,D5:D13,0),2)</f>
        <v>90.28831562974203</v>
      </c>
    </row>
    <row r="23" spans="2:3" ht="12" customHeight="1" x14ac:dyDescent="0.2">
      <c r="B23" s="222" t="str">
        <f>INDEX(B5:C13,MATCH(6,D5:D13,0),1)</f>
        <v>Razem 7 podstawowych form</v>
      </c>
      <c r="C23" s="223">
        <f>INDEX(B5:C13,MATCH(6,D5:D13,0),2)</f>
        <v>86.886017680598414</v>
      </c>
    </row>
    <row r="24" spans="2:3" x14ac:dyDescent="0.2">
      <c r="B24" s="462" t="str">
        <f>INDEX(B5:C13,MATCH(7,D5:D13,0),1)</f>
        <v>Razem 6 podstawowych form</v>
      </c>
      <c r="C24" s="463">
        <f>INDEX(B5:C13,MATCH(7,D5:D13,0),2)</f>
        <v>86.64716272907927</v>
      </c>
    </row>
    <row r="25" spans="2:3" x14ac:dyDescent="0.2">
      <c r="B25" s="37" t="str">
        <f>INDEX(B5:C13,MATCH(8,D5:D13,0),1)</f>
        <v>Staże</v>
      </c>
      <c r="C25" s="35">
        <f>INDEX(B5:C13,MATCH(8,D5:D13,0),2)</f>
        <v>85.071629401526309</v>
      </c>
    </row>
  </sheetData>
  <sortState xmlns:xlrd2="http://schemas.microsoft.com/office/spreadsheetml/2017/richdata2" ref="B5:F11">
    <sortCondition ref="C5:C11"/>
  </sortState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1">
    <tabColor rgb="FFFF9900"/>
    <pageSetUpPr fitToPage="1"/>
  </sheetPr>
  <dimension ref="A1:M33"/>
  <sheetViews>
    <sheetView zoomScale="90" zoomScaleNormal="90" workbookViewId="0"/>
  </sheetViews>
  <sheetFormatPr defaultRowHeight="15" x14ac:dyDescent="0.25"/>
  <cols>
    <col min="1" max="1" width="5.140625" style="15" customWidth="1"/>
    <col min="2" max="2" width="13.42578125" style="15" customWidth="1"/>
    <col min="3" max="3" width="8.28515625" style="15" customWidth="1"/>
    <col min="4" max="4" width="9.140625" style="15"/>
    <col min="5" max="5" width="11" style="15" customWidth="1"/>
    <col min="6" max="6" width="10.5703125" style="15" customWidth="1"/>
    <col min="7" max="7" width="10" style="15" customWidth="1"/>
    <col min="8" max="9" width="10.85546875" style="15" customWidth="1"/>
    <col min="10" max="10" width="11.5703125" style="10" customWidth="1"/>
    <col min="11" max="11" width="7.85546875" style="10" customWidth="1"/>
    <col min="12" max="12" width="14.42578125" style="10" customWidth="1"/>
    <col min="13" max="13" width="11.5703125" style="15" customWidth="1"/>
    <col min="14" max="16384" width="9.140625" style="15"/>
  </cols>
  <sheetData>
    <row r="1" spans="1:13" x14ac:dyDescent="0.25">
      <c r="A1" s="15" t="s">
        <v>157</v>
      </c>
    </row>
    <row r="2" spans="1:13" x14ac:dyDescent="0.25">
      <c r="A2" s="15" t="s">
        <v>325</v>
      </c>
    </row>
    <row r="3" spans="1:13" x14ac:dyDescent="0.25">
      <c r="A3" s="348">
        <f>SUM(P__!K26)</f>
        <v>2021</v>
      </c>
      <c r="B3" s="368" t="s">
        <v>101</v>
      </c>
      <c r="C3" s="348" t="s">
        <v>136</v>
      </c>
      <c r="D3" s="348" t="s">
        <v>135</v>
      </c>
      <c r="E3" s="348" t="s">
        <v>149</v>
      </c>
      <c r="F3" s="348" t="s">
        <v>139</v>
      </c>
      <c r="G3" s="348" t="s">
        <v>150</v>
      </c>
      <c r="H3" s="348" t="s">
        <v>148</v>
      </c>
      <c r="I3" s="348" t="s">
        <v>299</v>
      </c>
      <c r="J3" s="16"/>
      <c r="K3" s="16" t="s">
        <v>71</v>
      </c>
      <c r="L3" s="16" t="s">
        <v>151</v>
      </c>
      <c r="M3" s="43" t="s">
        <v>147</v>
      </c>
    </row>
    <row r="4" spans="1:13" x14ac:dyDescent="0.25">
      <c r="A4" s="16">
        <v>1</v>
      </c>
      <c r="B4" s="7" t="s">
        <v>73</v>
      </c>
      <c r="C4" s="369">
        <f>SUM(P__!U27)</f>
        <v>85.714285714285708</v>
      </c>
      <c r="D4" s="6">
        <f>SUM(P__!V27)</f>
        <v>40</v>
      </c>
      <c r="E4" s="6">
        <f>SUM(P__!W27)</f>
        <v>97.087378640776706</v>
      </c>
      <c r="F4" s="6">
        <f>SUMIF(P__!X27,"&gt;1",(P__!X27))</f>
        <v>100</v>
      </c>
      <c r="G4" s="6">
        <f>SUMIF(P__!Y27,"&gt;1",(P__!Y27))</f>
        <v>94.827586206896555</v>
      </c>
      <c r="H4" s="6">
        <f>SUMIF(P__!Z27,"&gt;1",(P__!Z27))</f>
        <v>87.5</v>
      </c>
      <c r="I4" s="6">
        <f>SUMIF(P__!AA27,"&gt;1",(P__!AA27))</f>
        <v>87.179487179487182</v>
      </c>
      <c r="J4" s="7">
        <v>1801</v>
      </c>
      <c r="K4" s="19">
        <f>RANK(C4,$C$4:$C$25,1)+COUNTIF($C$4:C4,C4)-1</f>
        <v>12</v>
      </c>
      <c r="L4" s="7" t="str">
        <f>INDEX(B4:I25,MATCH(1,K4:K25,0),1)</f>
        <v>Nisko</v>
      </c>
      <c r="M4" s="6">
        <f>INDEX(B4:I25,MATCH(1,K4:K25,0),2)</f>
        <v>75.786924939467312</v>
      </c>
    </row>
    <row r="5" spans="1:13" x14ac:dyDescent="0.25">
      <c r="A5" s="16">
        <v>2</v>
      </c>
      <c r="B5" s="7" t="s">
        <v>74</v>
      </c>
      <c r="C5" s="369">
        <f>SUM(P__!U28)</f>
        <v>85.618729096989966</v>
      </c>
      <c r="D5" s="6">
        <f>SUM(P__!V28)</f>
        <v>59.259259259259252</v>
      </c>
      <c r="E5" s="6">
        <f>SUM(P__!W28)</f>
        <v>96.428571428571431</v>
      </c>
      <c r="F5" s="6">
        <f>SUMIF(P__!X28,"&gt;1",(P__!X28))</f>
        <v>95.161290322580655</v>
      </c>
      <c r="G5" s="6">
        <f>SUM(P__!Y28)</f>
        <v>99.090909090909093</v>
      </c>
      <c r="H5" s="6">
        <f>SUM(P__!Z28)</f>
        <v>100</v>
      </c>
      <c r="I5" s="6">
        <f>SUM(P__!AA28)</f>
        <v>92.10526315789474</v>
      </c>
      <c r="J5" s="7">
        <v>1802</v>
      </c>
      <c r="K5" s="19">
        <f>RANK(C5,$C$4:$C$25,1)+COUNTIF($C$4:C5,C5)-1</f>
        <v>11</v>
      </c>
      <c r="L5" s="18" t="str">
        <f>INDEX(B4:I25,MATCH(2,K4:K25,0),1)</f>
        <v>Przeworsk</v>
      </c>
      <c r="M5" s="6">
        <f>INDEX(B4:I25,MATCH(2,K4:K25,0),2)</f>
        <v>78.01418439716312</v>
      </c>
    </row>
    <row r="6" spans="1:13" x14ac:dyDescent="0.25">
      <c r="A6" s="16">
        <v>3</v>
      </c>
      <c r="B6" s="7" t="s">
        <v>75</v>
      </c>
      <c r="C6" s="369">
        <f>SUM(P__!U29)</f>
        <v>78.968253968253961</v>
      </c>
      <c r="D6" s="6">
        <f>SUM(P__!V29)</f>
        <v>52.631578947368418</v>
      </c>
      <c r="E6" s="6">
        <f>SUM(P__!W29)</f>
        <v>98.75</v>
      </c>
      <c r="F6" s="6">
        <f>SUMIF(P__!X29,"&gt;1",(P__!X29))</f>
        <v>75</v>
      </c>
      <c r="G6" s="6">
        <f>SUM(P__!Y29)</f>
        <v>100</v>
      </c>
      <c r="H6" s="6">
        <f>SUM(P__!Z29)</f>
        <v>97.183098591549296</v>
      </c>
      <c r="I6" s="6">
        <f>SUM(P__!AA29)</f>
        <v>91.428571428571431</v>
      </c>
      <c r="J6" s="7">
        <v>1803</v>
      </c>
      <c r="K6" s="19">
        <f>RANK(C6,$C$4:$C$25,1)+COUNTIF($C$4:C6,C6)-1</f>
        <v>3</v>
      </c>
      <c r="L6" s="18" t="str">
        <f>INDEX(B4:I25,MATCH(3,K4:K25,0),1)</f>
        <v>Dębica</v>
      </c>
      <c r="M6" s="6">
        <f>INDEX(B4:I25,MATCH(3,K4:K25,0),2)</f>
        <v>78.968253968253961</v>
      </c>
    </row>
    <row r="7" spans="1:13" x14ac:dyDescent="0.25">
      <c r="A7" s="16">
        <v>4</v>
      </c>
      <c r="B7" s="7" t="s">
        <v>76</v>
      </c>
      <c r="C7" s="369">
        <f>SUM(P__!U30)</f>
        <v>86.52849740932642</v>
      </c>
      <c r="D7" s="6">
        <f>SUM(P__!V30)</f>
        <v>66.666666666666657</v>
      </c>
      <c r="E7" s="6">
        <f>SUM(P__!W30)</f>
        <v>97.407407407407405</v>
      </c>
      <c r="F7" s="6">
        <f>SUMIF(P__!X30,"&gt;1",(P__!X30))</f>
        <v>99.625468164794</v>
      </c>
      <c r="G7" s="6">
        <f>SUM(P__!Y30)</f>
        <v>100</v>
      </c>
      <c r="H7" s="6">
        <f>SUM(P__!Z30)</f>
        <v>99.107142857142861</v>
      </c>
      <c r="I7" s="6">
        <f>SUM(P__!AA30)</f>
        <v>80.701754385964904</v>
      </c>
      <c r="J7" s="7">
        <v>1804</v>
      </c>
      <c r="K7" s="19">
        <f>RANK(C7,$C$4:$C$25,1)+COUNTIF($C$4:C7,C7)-1</f>
        <v>15</v>
      </c>
      <c r="L7" s="18" t="str">
        <f>INDEX(B4:I25,MATCH(4,K4:K25,0),1)</f>
        <v>Ropczyce</v>
      </c>
      <c r="M7" s="6">
        <f>INDEX(B4:I25,MATCH(4,K4:K25,0),2)</f>
        <v>80.392156862745097</v>
      </c>
    </row>
    <row r="8" spans="1:13" x14ac:dyDescent="0.25">
      <c r="A8" s="16">
        <v>5</v>
      </c>
      <c r="B8" s="7" t="s">
        <v>77</v>
      </c>
      <c r="C8" s="369">
        <f>SUM(P__!U31)</f>
        <v>91.520467836257311</v>
      </c>
      <c r="D8" s="6">
        <f>SUM(P__!V31)</f>
        <v>34.782608695652172</v>
      </c>
      <c r="E8" s="6">
        <f>SUM(P__!W31)</f>
        <v>93.589743589743591</v>
      </c>
      <c r="F8" s="6">
        <f>SUMIF(P__!X31,"&gt;1",(P__!X31))</f>
        <v>100</v>
      </c>
      <c r="G8" s="6">
        <f>SUM(P__!Y31)</f>
        <v>97.883597883597886</v>
      </c>
      <c r="H8" s="6">
        <f>SUM(P__!Z31)</f>
        <v>84.552845528455293</v>
      </c>
      <c r="I8" s="6">
        <f>SUM(P__!AA31)</f>
        <v>93.333333333333329</v>
      </c>
      <c r="J8" s="7">
        <v>1805</v>
      </c>
      <c r="K8" s="19">
        <f>RANK(C8,$C$4:$C$25,1)+COUNTIF($C$4:C8,C8)-1</f>
        <v>22</v>
      </c>
      <c r="L8" s="18" t="str">
        <f>INDEX(B4:I25,MATCH(5,K4:K25,0),1)</f>
        <v>Stalowa Wola</v>
      </c>
      <c r="M8" s="6">
        <f>INDEX(B4:I25,MATCH(5,K4:K25,0),2)</f>
        <v>82.392026578073086</v>
      </c>
    </row>
    <row r="9" spans="1:13" x14ac:dyDescent="0.25">
      <c r="A9" s="16">
        <v>6</v>
      </c>
      <c r="B9" s="7" t="s">
        <v>78</v>
      </c>
      <c r="C9" s="369">
        <f>SUM(P__!U32)</f>
        <v>88.81578947368422</v>
      </c>
      <c r="D9" s="6">
        <f>SUM(P__!V32)</f>
        <v>82.857142857142861</v>
      </c>
      <c r="E9" s="6">
        <f>SUM(P__!W32)</f>
        <v>98.260869565217391</v>
      </c>
      <c r="F9" s="6">
        <f>SUMIF(P__!X32,"&gt;1",(P__!X32))</f>
        <v>100</v>
      </c>
      <c r="G9" s="6">
        <f>SUM(P__!Y32)</f>
        <v>98.387096774193552</v>
      </c>
      <c r="H9" s="6">
        <f>SUM(P__!Z32)</f>
        <v>95.348837209302332</v>
      </c>
      <c r="I9" s="6">
        <f>SUM(P__!AA32)</f>
        <v>100</v>
      </c>
      <c r="J9" s="7">
        <v>1806</v>
      </c>
      <c r="K9" s="19">
        <f>RANK(C9,$C$4:$C$25,1)+COUNTIF($C$4:C9,C9)-1</f>
        <v>19</v>
      </c>
      <c r="L9" s="18" t="str">
        <f>INDEX(B4:I25,MATCH(6,K4:K25,0),1)</f>
        <v>Krosno</v>
      </c>
      <c r="M9" s="6">
        <f>INDEX(B4:I25,MATCH(6,K4:K25,0),2)</f>
        <v>82.916666666666671</v>
      </c>
    </row>
    <row r="10" spans="1:13" x14ac:dyDescent="0.25">
      <c r="A10" s="218">
        <v>7</v>
      </c>
      <c r="B10" s="219" t="s">
        <v>79</v>
      </c>
      <c r="C10" s="370">
        <f>SUM(P__!U33)</f>
        <v>82.916666666666671</v>
      </c>
      <c r="D10" s="215">
        <f>SUM(P__!V33)</f>
        <v>45.283018867924532</v>
      </c>
      <c r="E10" s="215">
        <f>SUM(P__!W33)</f>
        <v>96.428571428571431</v>
      </c>
      <c r="F10" s="215">
        <f>SUMIF(P__!X33,"&gt;1",(P__!X33))</f>
        <v>96.428571428571431</v>
      </c>
      <c r="G10" s="215">
        <f>SUM(P__!Y33)</f>
        <v>98.165137614678898</v>
      </c>
      <c r="H10" s="215">
        <f>SUM(P__!Z33)</f>
        <v>88.059701492537314</v>
      </c>
      <c r="I10" s="215">
        <f>SUM(P__!AA33)</f>
        <v>97.5</v>
      </c>
      <c r="J10" s="219" t="s">
        <v>143</v>
      </c>
      <c r="K10" s="19">
        <f>RANK(C10,$C$4:$C$25,1)+COUNTIF($C$4:C10,C10)-1</f>
        <v>6</v>
      </c>
      <c r="L10" s="18" t="str">
        <f>INDEX(B4:I25,MATCH(7,K4:K25,0),1)</f>
        <v>Lesko</v>
      </c>
      <c r="M10" s="6">
        <f>INDEX(B4:I25,MATCH(7,K4:K25,0),2)</f>
        <v>83.185840707964601</v>
      </c>
    </row>
    <row r="11" spans="1:13" x14ac:dyDescent="0.25">
      <c r="A11" s="16">
        <v>8</v>
      </c>
      <c r="B11" s="7" t="s">
        <v>80</v>
      </c>
      <c r="C11" s="369">
        <f>SUM(P__!U35)</f>
        <v>91.017964071856284</v>
      </c>
      <c r="D11" s="6">
        <f>SUM(P__!V35)</f>
        <v>39.784946236559136</v>
      </c>
      <c r="E11" s="6">
        <f>SUM(P__!W35)</f>
        <v>93.181818181818173</v>
      </c>
      <c r="F11" s="6">
        <f>SUMIF(P__!X35,"&gt;1",(P__!X35))</f>
        <v>94.73684210526315</v>
      </c>
      <c r="G11" s="6">
        <f>SUM(P__!Y35)</f>
        <v>95.689655172413794</v>
      </c>
      <c r="H11" s="6">
        <f>SUM(P__!Z35)</f>
        <v>80</v>
      </c>
      <c r="I11" s="6">
        <f>SUM(P__!AA35)</f>
        <v>97.142857142857139</v>
      </c>
      <c r="J11" s="7">
        <v>1808</v>
      </c>
      <c r="K11" s="19">
        <f>RANK(C11,$C$4:$C$25,1)+COUNTIF($C$4:C11,C11)-1</f>
        <v>20</v>
      </c>
      <c r="L11" s="154" t="str">
        <f>INDEX(B4:I25,MATCH(8,K4:K25,0),1)</f>
        <v>Rzeszów</v>
      </c>
      <c r="M11" s="22">
        <f>INDEX(B4:I25,MATCH(8,K4:K25,0),2)</f>
        <v>83.909574468085097</v>
      </c>
    </row>
    <row r="12" spans="1:13" x14ac:dyDescent="0.25">
      <c r="A12" s="16">
        <v>9</v>
      </c>
      <c r="B12" s="7" t="s">
        <v>81</v>
      </c>
      <c r="C12" s="369">
        <f>SUM(P__!U36)</f>
        <v>86.075949367088612</v>
      </c>
      <c r="D12" s="6">
        <f>SUM(P__!V36)</f>
        <v>50</v>
      </c>
      <c r="E12" s="6">
        <f>SUM(P__!W36)</f>
        <v>98.101265822784811</v>
      </c>
      <c r="F12" s="6">
        <f>SUMIF(P__!X36,"&gt;1",(P__!X36))</f>
        <v>100</v>
      </c>
      <c r="G12" s="6">
        <f>SUM(P__!Y36)</f>
        <v>84.05797101449275</v>
      </c>
      <c r="H12" s="431">
        <f>SUMIF(P__!Z36,"&gt;1",(P__!Z36))</f>
        <v>0</v>
      </c>
      <c r="I12" s="6">
        <f>SUM(P__!AA36)</f>
        <v>89.583333333333343</v>
      </c>
      <c r="J12" s="7">
        <v>1809</v>
      </c>
      <c r="K12" s="19">
        <f>RANK(C12,$C$4:$C$25,1)+COUNTIF($C$4:C12,C12)-1</f>
        <v>14</v>
      </c>
      <c r="L12" s="18" t="str">
        <f>INDEX(B4:I25,MATCH(9,K4:K25,0),1)</f>
        <v>Podkarpacie</v>
      </c>
      <c r="M12" s="6">
        <f>INDEX(B4:I25,MATCH(9,K4:K25,0),2)</f>
        <v>85.071629401526309</v>
      </c>
    </row>
    <row r="13" spans="1:13" x14ac:dyDescent="0.25">
      <c r="A13" s="16">
        <v>10</v>
      </c>
      <c r="B13" s="7" t="s">
        <v>82</v>
      </c>
      <c r="C13" s="369">
        <f>SUM(P__!U37)</f>
        <v>86.5625</v>
      </c>
      <c r="D13" s="6">
        <f>SUM(P__!V37)</f>
        <v>24.731182795698924</v>
      </c>
      <c r="E13" s="6">
        <f>SUM(P__!W37)</f>
        <v>99.350649350649363</v>
      </c>
      <c r="F13" s="6">
        <f>SUMIF(P__!X37,"&gt;1",(P__!X37))</f>
        <v>97.61904761904762</v>
      </c>
      <c r="G13" s="6">
        <f>SUM(P__!Y37)</f>
        <v>100</v>
      </c>
      <c r="H13" s="6">
        <f>SUM(P__!Z37)</f>
        <v>100</v>
      </c>
      <c r="I13" s="6">
        <f>SUM(P__!AA37)</f>
        <v>95.918367346938766</v>
      </c>
      <c r="J13" s="7">
        <v>1810</v>
      </c>
      <c r="K13" s="19">
        <f>RANK(C13,$C$4:$C$25,1)+COUNTIF($C$4:C13,C13)-1</f>
        <v>16</v>
      </c>
      <c r="L13" s="220" t="str">
        <f>INDEX(B4:I25,MATCH(10,K4:K25,0),1)</f>
        <v>Sanok</v>
      </c>
      <c r="M13" s="216">
        <f>INDEX(B4:I25,MATCH(10,K4:K25,0),2)</f>
        <v>85.561497326203209</v>
      </c>
    </row>
    <row r="14" spans="1:13" x14ac:dyDescent="0.25">
      <c r="A14" s="16">
        <v>11</v>
      </c>
      <c r="B14" s="7" t="s">
        <v>83</v>
      </c>
      <c r="C14" s="369">
        <f>SUM(P__!U38)</f>
        <v>87.341772151898738</v>
      </c>
      <c r="D14" s="6">
        <f>SUM(P__!V38)</f>
        <v>69.230769230769226</v>
      </c>
      <c r="E14" s="6">
        <f>SUM(P__!W38)</f>
        <v>84.063745019920319</v>
      </c>
      <c r="F14" s="6">
        <f>SUMIF(P__!X38,"&gt;1",(P__!X38))</f>
        <v>98.461538461538467</v>
      </c>
      <c r="G14" s="6">
        <f>SUM(P__!Y38)</f>
        <v>98.165137614678898</v>
      </c>
      <c r="H14" s="6">
        <f>SUM(P__!Z38)</f>
        <v>86.666666666666671</v>
      </c>
      <c r="I14" s="6">
        <f>SUM(P__!AA38)</f>
        <v>100</v>
      </c>
      <c r="J14" s="7">
        <v>1811</v>
      </c>
      <c r="K14" s="19">
        <f>RANK(C14,$C$4:$C$25,1)+COUNTIF($C$4:C14,C14)-1</f>
        <v>17</v>
      </c>
      <c r="L14" s="18" t="str">
        <f>INDEX(B4:I25,MATCH(11,K4:K25,0),1)</f>
        <v>Brzozów</v>
      </c>
      <c r="M14" s="6">
        <f>INDEX(B4:I25,MATCH(11,K4:K25,0),2)</f>
        <v>85.618729096989966</v>
      </c>
    </row>
    <row r="15" spans="1:13" x14ac:dyDescent="0.25">
      <c r="A15" s="16">
        <v>12</v>
      </c>
      <c r="B15" s="7" t="s">
        <v>84</v>
      </c>
      <c r="C15" s="369">
        <f>SUM(P__!U39)</f>
        <v>75.786924939467312</v>
      </c>
      <c r="D15" s="6">
        <f>SUM(P__!V39)</f>
        <v>37.681159420289859</v>
      </c>
      <c r="E15" s="6">
        <f>SUM(P__!W39)</f>
        <v>86.797752808988761</v>
      </c>
      <c r="F15" s="6">
        <f>SUMIF(P__!X39,"&gt;1",(P__!X39))</f>
        <v>72.222222222222214</v>
      </c>
      <c r="G15" s="6">
        <f>SUM(P__!Y39)</f>
        <v>92.20779220779221</v>
      </c>
      <c r="H15" s="6">
        <f>SUM(P__!Z39)</f>
        <v>81.395348837209298</v>
      </c>
      <c r="I15" s="6">
        <f>SUM(P__!AA39)</f>
        <v>88.235294117647058</v>
      </c>
      <c r="J15" s="7">
        <v>1812</v>
      </c>
      <c r="K15" s="19">
        <f>RANK(C15,$C$4:$C$25,1)+COUNTIF($C$4:C15,C15)-1</f>
        <v>1</v>
      </c>
      <c r="L15" s="18" t="str">
        <f>INDEX(B4:I25,MATCH(12,K4:K25,0),1)</f>
        <v>Ustrzyki Dolne</v>
      </c>
      <c r="M15" s="6">
        <f>INDEX(B4:I25,MATCH(12,K4:K25,0),2)</f>
        <v>85.714285714285708</v>
      </c>
    </row>
    <row r="16" spans="1:13" x14ac:dyDescent="0.25">
      <c r="A16" s="16">
        <v>13</v>
      </c>
      <c r="B16" s="7" t="s">
        <v>85</v>
      </c>
      <c r="C16" s="369">
        <f>SUM(P__!U40)</f>
        <v>78.01418439716312</v>
      </c>
      <c r="D16" s="6">
        <f>SUM(P__!V40)</f>
        <v>56.862745098039213</v>
      </c>
      <c r="E16" s="6">
        <f>SUM(P__!W40)</f>
        <v>89.562289562289564</v>
      </c>
      <c r="F16" s="6">
        <f>SUMIF(P__!X40,"&gt;1",(P__!X40))</f>
        <v>88.535031847133766</v>
      </c>
      <c r="G16" s="6">
        <f>SUM(P__!Y40)</f>
        <v>91.025641025641022</v>
      </c>
      <c r="H16" s="6">
        <f>SUM(P__!Z40)</f>
        <v>76.785714285714292</v>
      </c>
      <c r="I16" s="6">
        <f>SUM(P__!AA40)</f>
        <v>82.142857142857139</v>
      </c>
      <c r="J16" s="7">
        <v>1814</v>
      </c>
      <c r="K16" s="156">
        <f>RANK(C16,$C$4:$C$25,1)+COUNTIF($C$4:C16,C16)-1</f>
        <v>2</v>
      </c>
      <c r="L16" s="155" t="str">
        <f>INDEX(B4:I25,MATCH(13,K4:K25,0),1)</f>
        <v>Przemyśl</v>
      </c>
      <c r="M16" s="22">
        <f>INDEX(B4:I25,MATCH(13,K4:K25,0),2)</f>
        <v>85.784313725490193</v>
      </c>
    </row>
    <row r="17" spans="1:13" x14ac:dyDescent="0.25">
      <c r="A17" s="16">
        <v>14</v>
      </c>
      <c r="B17" s="7" t="s">
        <v>86</v>
      </c>
      <c r="C17" s="369">
        <f>SUM(P__!U41)</f>
        <v>80.392156862745097</v>
      </c>
      <c r="D17" s="6">
        <f>SUM(P__!V41)</f>
        <v>77.272727272727266</v>
      </c>
      <c r="E17" s="6">
        <f>SUM(P__!W41)</f>
        <v>81.818181818181827</v>
      </c>
      <c r="F17" s="6">
        <f>SUMIF(P__!X41,"&gt;1",(P__!X41))</f>
        <v>92.957746478873233</v>
      </c>
      <c r="G17" s="6">
        <f>SUM(P__!Y41)</f>
        <v>92.125984251968504</v>
      </c>
      <c r="H17" s="6">
        <f>SUM(P__!Z41)</f>
        <v>82.022471910112358</v>
      </c>
      <c r="I17" s="6">
        <f>SUM(P__!AA41)</f>
        <v>85.714285714285708</v>
      </c>
      <c r="J17" s="7">
        <v>1815</v>
      </c>
      <c r="K17" s="20">
        <f>RANK(C17,$C$4:$C$25,1)+COUNTIF($C$4:C17,C17)-1</f>
        <v>4</v>
      </c>
      <c r="L17" s="21" t="str">
        <f>INDEX(B4:I25,MATCH(14,K4:K25,0),1)</f>
        <v>Lubaczów</v>
      </c>
      <c r="M17" s="6">
        <f>INDEX(B4:I25,MATCH(14,K4:K25,0),2)</f>
        <v>86.075949367088612</v>
      </c>
    </row>
    <row r="18" spans="1:13" x14ac:dyDescent="0.25">
      <c r="A18" s="218">
        <v>15</v>
      </c>
      <c r="B18" s="219" t="s">
        <v>87</v>
      </c>
      <c r="C18" s="370">
        <f>SUM(P__!U43)</f>
        <v>83.909574468085097</v>
      </c>
      <c r="D18" s="215">
        <f>SUM(P__!V43)</f>
        <v>55.313351498637594</v>
      </c>
      <c r="E18" s="215">
        <f>SUM(P__!W43)</f>
        <v>90.099009900990097</v>
      </c>
      <c r="F18" s="215">
        <f>SUMIF(P__!X43,"&gt;1",(P__!X43))</f>
        <v>82.051282051282044</v>
      </c>
      <c r="G18" s="215">
        <f>SUM(P__!Y43)</f>
        <v>97.206703910614522</v>
      </c>
      <c r="H18" s="215">
        <f>SUM(P__!Z43)</f>
        <v>91.803278688524586</v>
      </c>
      <c r="I18" s="215">
        <f>SUM(P__!AA43)</f>
        <v>91.428571428571431</v>
      </c>
      <c r="J18" s="219" t="s">
        <v>145</v>
      </c>
      <c r="K18" s="19">
        <f>RANK(C18,$C$4:$C$25,1)+COUNTIF($C$4:C18,C18)-1</f>
        <v>8</v>
      </c>
      <c r="L18" s="7" t="str">
        <f>INDEX(B4:I25,MATCH(15,K4:K25,0),1)</f>
        <v>Jarosław</v>
      </c>
      <c r="M18" s="6">
        <f>INDEX(B4:I25,MATCH(15,K4:K25,0),2)</f>
        <v>86.52849740932642</v>
      </c>
    </row>
    <row r="19" spans="1:13" x14ac:dyDescent="0.25">
      <c r="A19" s="16">
        <v>16</v>
      </c>
      <c r="B19" s="7" t="s">
        <v>88</v>
      </c>
      <c r="C19" s="369">
        <f>SUM(P__!U44)</f>
        <v>85.561497326203209</v>
      </c>
      <c r="D19" s="6">
        <f>SUM(P__!V44)</f>
        <v>55.833333333333336</v>
      </c>
      <c r="E19" s="6">
        <f>SUM(P__!W44)</f>
        <v>93.75</v>
      </c>
      <c r="F19" s="6">
        <f>SUMIF(P__!X44,"&gt;1",(P__!X44))</f>
        <v>100</v>
      </c>
      <c r="G19" s="6">
        <f>SUM(P__!Y44)</f>
        <v>100</v>
      </c>
      <c r="H19" s="6">
        <f>SUM(P__!Z44)</f>
        <v>94.230769230769226</v>
      </c>
      <c r="I19" s="6">
        <f>SUM(P__!AA44)</f>
        <v>93.103448275862064</v>
      </c>
      <c r="J19" s="7">
        <v>1817</v>
      </c>
      <c r="K19" s="19">
        <f>RANK(C19,$C$4:$C$25,1)+COUNTIF($C$4:C19,C19)-1</f>
        <v>10</v>
      </c>
      <c r="L19" s="7" t="str">
        <f>INDEX(B4:I25,MATCH(16,K4:K25,0),1)</f>
        <v>Łańcut</v>
      </c>
      <c r="M19" s="6">
        <f>INDEX(B4:I25,MATCH(16,K4:K25,0),2)</f>
        <v>86.5625</v>
      </c>
    </row>
    <row r="20" spans="1:13" x14ac:dyDescent="0.25">
      <c r="A20" s="16">
        <v>17</v>
      </c>
      <c r="B20" s="7" t="s">
        <v>89</v>
      </c>
      <c r="C20" s="369">
        <f>SUM(P__!U45)</f>
        <v>82.392026578073086</v>
      </c>
      <c r="D20" s="6">
        <f>SUM(P__!V45)</f>
        <v>68.387096774193552</v>
      </c>
      <c r="E20" s="6">
        <f>SUM(P__!W45)</f>
        <v>99.236641221374043</v>
      </c>
      <c r="F20" s="6">
        <f>SUMIF(P__!X45,"&gt;1",(P__!X45))</f>
        <v>92.592592592592595</v>
      </c>
      <c r="G20" s="6">
        <f>SUM(P__!Y45)</f>
        <v>88.659793814432987</v>
      </c>
      <c r="H20" s="6">
        <f>SUM(P__!Z45)</f>
        <v>96.296296296296291</v>
      </c>
      <c r="I20" s="6">
        <f>SUM(P__!AA45)</f>
        <v>94.444444444444443</v>
      </c>
      <c r="J20" s="7">
        <v>1818</v>
      </c>
      <c r="K20" s="19">
        <f>RANK(C20,$C$4:$C$25,1)+COUNTIF($C$4:C20,C20)-1</f>
        <v>5</v>
      </c>
      <c r="L20" s="7" t="str">
        <f>INDEX(B4:I25,MATCH(17,K4:K25,0),1)</f>
        <v>Mielec</v>
      </c>
      <c r="M20" s="6">
        <f>INDEX(B4:I25,MATCH(17,K4:K25,0),2)</f>
        <v>87.341772151898738</v>
      </c>
    </row>
    <row r="21" spans="1:13" x14ac:dyDescent="0.25">
      <c r="A21" s="16">
        <v>18</v>
      </c>
      <c r="B21" s="7" t="s">
        <v>90</v>
      </c>
      <c r="C21" s="369">
        <f>SUM(P__!U46)</f>
        <v>88.103448275862078</v>
      </c>
      <c r="D21" s="6">
        <f>SUM(P__!V46)</f>
        <v>57.692307692307686</v>
      </c>
      <c r="E21" s="6">
        <f>SUM(P__!W46)</f>
        <v>96.491228070175438</v>
      </c>
      <c r="F21" s="6">
        <f>SUMIF(P__!X46,"&gt;1",(P__!X46))</f>
        <v>100</v>
      </c>
      <c r="G21" s="6">
        <f>SUM(P__!Y46)</f>
        <v>96.590909090909093</v>
      </c>
      <c r="H21" s="6">
        <f>SUM(P__!Z46)</f>
        <v>91.379310344827587</v>
      </c>
      <c r="I21" s="6">
        <f>SUM(P__!AA46)</f>
        <v>100</v>
      </c>
      <c r="J21" s="7">
        <v>1819</v>
      </c>
      <c r="K21" s="19">
        <f>RANK(C21,$C$4:$C$25,1)+COUNTIF($C$4:C21,C21)-1</f>
        <v>18</v>
      </c>
      <c r="L21" s="7" t="str">
        <f>INDEX(B4:I25,MATCH(18,K4:K25,0),1)</f>
        <v>Strzyżów</v>
      </c>
      <c r="M21" s="6">
        <f>INDEX(B4:I25,MATCH(18,K4:K25,0),2)</f>
        <v>88.103448275862078</v>
      </c>
    </row>
    <row r="22" spans="1:13" x14ac:dyDescent="0.25">
      <c r="A22" s="218">
        <v>19</v>
      </c>
      <c r="B22" s="219" t="s">
        <v>91</v>
      </c>
      <c r="C22" s="370">
        <f>SUM(P__!U47)</f>
        <v>91.21621621621621</v>
      </c>
      <c r="D22" s="215">
        <f>SUM(P__!V47)</f>
        <v>37.142857142857146</v>
      </c>
      <c r="E22" s="215">
        <f>SUM(P__!W47)</f>
        <v>96.385542168674704</v>
      </c>
      <c r="F22" s="215">
        <f>SUMIF(P__!X47,"&gt;1",(P__!X47))</f>
        <v>97.132616487455195</v>
      </c>
      <c r="G22" s="215">
        <f>SUM(P__!Y47)</f>
        <v>100</v>
      </c>
      <c r="H22" s="215">
        <f>SUM(P__!Z47)</f>
        <v>100</v>
      </c>
      <c r="I22" s="215">
        <f>SUM(P__!AA47)</f>
        <v>91.304347826086953</v>
      </c>
      <c r="J22" s="219" t="s">
        <v>146</v>
      </c>
      <c r="K22" s="19">
        <f>RANK(C22,$C$4:$C$25,1)+COUNTIF($C$4:C22,C22)-1</f>
        <v>21</v>
      </c>
      <c r="L22" s="7" t="str">
        <f>INDEX(B4:I25,MATCH(19,K4:K25,0),1)</f>
        <v>Kolbuszowa</v>
      </c>
      <c r="M22" s="6">
        <f>INDEX(B4:I25,MATCH(19,K4:K25,0),2)</f>
        <v>88.81578947368422</v>
      </c>
    </row>
    <row r="23" spans="1:13" x14ac:dyDescent="0.25">
      <c r="A23" s="16">
        <v>20</v>
      </c>
      <c r="B23" s="7" t="s">
        <v>92</v>
      </c>
      <c r="C23" s="369">
        <f>SUM(P__!U48)</f>
        <v>83.185840707964601</v>
      </c>
      <c r="D23" s="6">
        <f>SUM(P__!V48)</f>
        <v>90</v>
      </c>
      <c r="E23" s="6">
        <f>SUM(P__!W48)</f>
        <v>94.594594594594597</v>
      </c>
      <c r="F23" s="6">
        <f>SUMIF(P__!X48,"&gt;1",(P__!X48))</f>
        <v>83.333333333333343</v>
      </c>
      <c r="G23" s="6">
        <f>SUM(P__!Y48)</f>
        <v>82.857142857142861</v>
      </c>
      <c r="H23" s="6">
        <f>SUM(P__!Z48)</f>
        <v>100</v>
      </c>
      <c r="I23" s="6">
        <f>SUM(P__!AA48)</f>
        <v>89.743589743589752</v>
      </c>
      <c r="J23" s="7">
        <v>1821</v>
      </c>
      <c r="K23" s="19">
        <f>RANK(C23,$C$4:$C$25,1)+COUNTIF($C$4:C23,C23)-1</f>
        <v>7</v>
      </c>
      <c r="L23" s="7" t="str">
        <f>INDEX(B4:I25,MATCH(20,K4:K25,0),1)</f>
        <v>Leżajsk</v>
      </c>
      <c r="M23" s="6">
        <f>INDEX(B4:I25,MATCH(20,K4:K25,0),2)</f>
        <v>91.017964071856284</v>
      </c>
    </row>
    <row r="24" spans="1:13" x14ac:dyDescent="0.25">
      <c r="A24" s="218">
        <v>21</v>
      </c>
      <c r="B24" s="219" t="s">
        <v>97</v>
      </c>
      <c r="C24" s="370">
        <f>SUM(P__!U49)</f>
        <v>85.784313725490193</v>
      </c>
      <c r="D24" s="215">
        <f>SUM(P__!V49)</f>
        <v>44.776119402985074</v>
      </c>
      <c r="E24" s="215">
        <f>SUM(P__!W49)</f>
        <v>97.628458498023718</v>
      </c>
      <c r="F24" s="215">
        <f>SUMIF(P__!X49,"&gt;1",(P__!X49))</f>
        <v>94.85294117647058</v>
      </c>
      <c r="G24" s="215">
        <f>SUM(P__!Y49)</f>
        <v>89.65517241379311</v>
      </c>
      <c r="H24" s="215">
        <f>SUM(P__!Z49)</f>
        <v>81.818181818181827</v>
      </c>
      <c r="I24" s="215">
        <f>SUM(P__!AA49)</f>
        <v>91.304347826086953</v>
      </c>
      <c r="J24" s="219" t="s">
        <v>144</v>
      </c>
      <c r="K24" s="19">
        <f>RANK(C24,$C$4:$C$25,1)+COUNTIF($C$4:C24,C24)-1</f>
        <v>13</v>
      </c>
      <c r="L24" s="7" t="str">
        <f>INDEX(B4:I25,MATCH(21,K4:K25,0),1)</f>
        <v>Tarnobrzeg</v>
      </c>
      <c r="M24" s="6">
        <f>INDEX(B4:I25,MATCH(21,K4:K25,0),2)</f>
        <v>91.21621621621621</v>
      </c>
    </row>
    <row r="25" spans="1:13" x14ac:dyDescent="0.25">
      <c r="A25" s="16">
        <v>22</v>
      </c>
      <c r="B25" s="18" t="s">
        <v>100</v>
      </c>
      <c r="C25" s="369">
        <f>SUM(P__!U50)</f>
        <v>85.071629401526309</v>
      </c>
      <c r="D25" s="6">
        <f>SUM(P__!V50)</f>
        <v>52.031978680879412</v>
      </c>
      <c r="E25" s="6">
        <f>SUM(P__!W50)</f>
        <v>93.357320786050366</v>
      </c>
      <c r="F25" s="6">
        <f>SUMIF(P__!X50,"&gt;1",(P__!X50))</f>
        <v>94.23585404547859</v>
      </c>
      <c r="G25" s="6">
        <f>SUM(P__!Y50)</f>
        <v>95.395869191049911</v>
      </c>
      <c r="H25" s="6">
        <f>SUM(P__!Z50)</f>
        <v>90.28831562974203</v>
      </c>
      <c r="I25" s="6">
        <f>SUM(P__!AA50)</f>
        <v>91.208791208791212</v>
      </c>
      <c r="J25" s="7">
        <v>1800</v>
      </c>
      <c r="K25" s="19">
        <f>RANK(C25,$C$4:$C$25,1)+COUNTIF($C$4:C25,C25)-1</f>
        <v>9</v>
      </c>
      <c r="L25" s="7" t="str">
        <f>INDEX(B4:I25,MATCH(22,K4:K25,0),1)</f>
        <v>Jasło</v>
      </c>
      <c r="M25" s="6">
        <f>INDEX(B4:I25,MATCH(22,K4:K25,0),2)</f>
        <v>91.520467836257311</v>
      </c>
    </row>
    <row r="26" spans="1:13" x14ac:dyDescent="0.25">
      <c r="B26" s="10">
        <v>1</v>
      </c>
      <c r="C26" s="10">
        <v>2</v>
      </c>
      <c r="D26" s="10">
        <v>3</v>
      </c>
      <c r="E26" s="10">
        <v>4</v>
      </c>
      <c r="F26" s="10">
        <v>5</v>
      </c>
      <c r="G26" s="10">
        <v>6</v>
      </c>
      <c r="H26" s="10">
        <v>7</v>
      </c>
      <c r="I26" s="10"/>
    </row>
    <row r="27" spans="1:13" x14ac:dyDescent="0.25">
      <c r="A27" s="348">
        <v>1</v>
      </c>
      <c r="B27" s="368" t="s">
        <v>1</v>
      </c>
      <c r="C27" s="15" t="s">
        <v>152</v>
      </c>
    </row>
    <row r="28" spans="1:13" x14ac:dyDescent="0.25">
      <c r="A28" s="16">
        <v>2</v>
      </c>
      <c r="B28" s="17" t="s">
        <v>2</v>
      </c>
      <c r="C28" s="15" t="s">
        <v>152</v>
      </c>
      <c r="D28" s="30"/>
      <c r="E28" s="30"/>
      <c r="F28" s="30"/>
      <c r="G28" s="30"/>
      <c r="H28" s="30"/>
      <c r="I28" s="30"/>
      <c r="J28" s="30"/>
      <c r="K28" s="15"/>
    </row>
    <row r="29" spans="1:13" x14ac:dyDescent="0.25">
      <c r="A29" s="16">
        <v>3</v>
      </c>
      <c r="B29" s="17" t="s">
        <v>3</v>
      </c>
      <c r="C29" s="15" t="s">
        <v>152</v>
      </c>
    </row>
    <row r="30" spans="1:13" x14ac:dyDescent="0.25">
      <c r="A30" s="16">
        <v>4</v>
      </c>
      <c r="B30" s="17" t="s">
        <v>4</v>
      </c>
      <c r="C30" s="15" t="s">
        <v>152</v>
      </c>
    </row>
    <row r="31" spans="1:13" x14ac:dyDescent="0.25">
      <c r="A31" s="16">
        <v>5</v>
      </c>
      <c r="B31" s="17" t="s">
        <v>16</v>
      </c>
      <c r="C31" s="15" t="s">
        <v>152</v>
      </c>
    </row>
    <row r="32" spans="1:13" x14ac:dyDescent="0.25">
      <c r="A32" s="16">
        <v>6</v>
      </c>
      <c r="B32" s="17" t="s">
        <v>17</v>
      </c>
      <c r="C32" s="15" t="s">
        <v>152</v>
      </c>
    </row>
    <row r="33" spans="1:3" x14ac:dyDescent="0.25">
      <c r="A33" s="16">
        <v>7</v>
      </c>
      <c r="B33" s="17" t="s">
        <v>11</v>
      </c>
      <c r="C33" s="15" t="s">
        <v>152</v>
      </c>
    </row>
  </sheetData>
  <sortState xmlns:xlrd2="http://schemas.microsoft.com/office/spreadsheetml/2017/richdata2" ref="A4:H25">
    <sortCondition ref="C4:C25"/>
  </sortState>
  <pageMargins left="0.7" right="0.7" top="0.75" bottom="0.75" header="0.3" footer="0.3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U39"/>
  <sheetViews>
    <sheetView zoomScale="90" zoomScaleNormal="90" workbookViewId="0">
      <selection activeCell="G6" sqref="G6"/>
    </sheetView>
  </sheetViews>
  <sheetFormatPr defaultRowHeight="14.25" x14ac:dyDescent="0.2"/>
  <cols>
    <col min="1" max="1" width="1.7109375" style="117" customWidth="1"/>
    <col min="2" max="2" width="5.5703125" style="117" customWidth="1"/>
    <col min="3" max="3" width="62.42578125" style="117" customWidth="1"/>
    <col min="4" max="4" width="10.85546875" style="117" customWidth="1"/>
    <col min="5" max="5" width="10.42578125" style="117" customWidth="1"/>
    <col min="6" max="6" width="10.140625" style="117" customWidth="1"/>
    <col min="7" max="7" width="14.7109375" style="117" customWidth="1"/>
    <col min="8" max="8" width="14.42578125" style="117" customWidth="1"/>
    <col min="9" max="9" width="12.42578125" style="117" customWidth="1"/>
    <col min="10" max="10" width="15.140625" style="117" customWidth="1"/>
    <col min="11" max="11" width="12.7109375" style="117" customWidth="1"/>
    <col min="12" max="12" width="3.28515625" style="117" customWidth="1"/>
    <col min="13" max="13" width="8" style="117" customWidth="1"/>
    <col min="14" max="14" width="7.7109375" style="117" customWidth="1"/>
    <col min="15" max="15" width="3.28515625" style="117" customWidth="1"/>
    <col min="16" max="16" width="10.7109375" style="117" customWidth="1"/>
    <col min="17" max="17" width="10.42578125" style="117" customWidth="1"/>
    <col min="18" max="18" width="14.28515625" style="117" customWidth="1"/>
    <col min="19" max="19" width="9.85546875" style="117" customWidth="1"/>
    <col min="20" max="20" width="8.7109375" style="117" customWidth="1"/>
    <col min="21" max="21" width="9.28515625" style="117" customWidth="1"/>
    <col min="22" max="16384" width="9.140625" style="117"/>
  </cols>
  <sheetData>
    <row r="1" spans="2:21" ht="15" thickBot="1" x14ac:dyDescent="0.25">
      <c r="B1" s="230" t="s">
        <v>276</v>
      </c>
      <c r="D1" s="118"/>
      <c r="E1" s="118"/>
      <c r="F1" s="118"/>
      <c r="G1" s="416" t="s">
        <v>269</v>
      </c>
      <c r="H1" s="572" t="s">
        <v>266</v>
      </c>
      <c r="I1" s="118"/>
      <c r="J1" s="118"/>
      <c r="K1" s="118"/>
    </row>
    <row r="2" spans="2:21" x14ac:dyDescent="0.2">
      <c r="B2" s="315"/>
      <c r="C2" s="610" t="s">
        <v>323</v>
      </c>
      <c r="D2" s="316"/>
      <c r="E2" s="317"/>
      <c r="F2" s="318"/>
      <c r="G2" s="316"/>
      <c r="H2" s="318"/>
      <c r="I2" s="316"/>
      <c r="J2" s="316"/>
      <c r="K2" s="319"/>
    </row>
    <row r="3" spans="2:21" ht="66" customHeight="1" x14ac:dyDescent="0.2">
      <c r="B3" s="320"/>
      <c r="C3" s="611"/>
      <c r="D3" s="321" t="s">
        <v>108</v>
      </c>
      <c r="E3" s="322" t="s">
        <v>109</v>
      </c>
      <c r="F3" s="323" t="s">
        <v>110</v>
      </c>
      <c r="G3" s="324" t="s">
        <v>111</v>
      </c>
      <c r="H3" s="323" t="s">
        <v>239</v>
      </c>
      <c r="I3" s="321" t="s">
        <v>167</v>
      </c>
      <c r="J3" s="325" t="s">
        <v>186</v>
      </c>
      <c r="K3" s="326" t="s">
        <v>185</v>
      </c>
    </row>
    <row r="4" spans="2:21" ht="36" x14ac:dyDescent="0.2">
      <c r="B4" s="327" t="s">
        <v>106</v>
      </c>
      <c r="C4" s="611"/>
      <c r="D4" s="321"/>
      <c r="E4" s="322"/>
      <c r="F4" s="323"/>
      <c r="G4" s="321" t="s">
        <v>238</v>
      </c>
      <c r="H4" s="323" t="s">
        <v>348</v>
      </c>
      <c r="I4" s="321"/>
      <c r="J4" s="328"/>
      <c r="K4" s="323" t="s">
        <v>348</v>
      </c>
    </row>
    <row r="5" spans="2:21" ht="15" thickBot="1" x14ac:dyDescent="0.25">
      <c r="B5" s="329"/>
      <c r="C5" s="612"/>
      <c r="D5" s="330"/>
      <c r="E5" s="331"/>
      <c r="F5" s="332"/>
      <c r="G5" s="330"/>
      <c r="H5" s="332"/>
      <c r="I5" s="330"/>
      <c r="J5" s="330"/>
      <c r="K5" s="333"/>
      <c r="M5" s="157"/>
      <c r="N5" s="157"/>
      <c r="O5" s="158"/>
      <c r="P5" s="157"/>
      <c r="Q5" s="157"/>
      <c r="R5" s="158"/>
      <c r="S5" s="157"/>
      <c r="T5" s="157"/>
      <c r="U5" s="158"/>
    </row>
    <row r="6" spans="2:21" x14ac:dyDescent="0.2">
      <c r="B6" s="131">
        <v>1</v>
      </c>
      <c r="C6" s="132" t="s">
        <v>2</v>
      </c>
      <c r="D6" s="133">
        <f>SUM('z21'!F6)</f>
        <v>954</v>
      </c>
      <c r="E6" s="134">
        <f>SUM('z21'!G6)</f>
        <v>793</v>
      </c>
      <c r="F6" s="135">
        <f>SUM('z21'!H6)</f>
        <v>523</v>
      </c>
      <c r="G6" s="136">
        <f>SUM(F6/E6)*100</f>
        <v>65.952080706179061</v>
      </c>
      <c r="H6" s="137">
        <f>SUM(J6/F6)</f>
        <v>6620.3884703632884</v>
      </c>
      <c r="I6" s="283">
        <f>SUM('z21'!E6)</f>
        <v>3462.46317</v>
      </c>
      <c r="J6" s="133">
        <f>SUM(I6*1000)</f>
        <v>3462463.17</v>
      </c>
      <c r="K6" s="138">
        <f t="shared" ref="K6:K14" si="0">SUM(J6/D6)</f>
        <v>3629.4163207547167</v>
      </c>
      <c r="M6" s="181"/>
      <c r="N6" s="181"/>
      <c r="O6" s="158"/>
      <c r="P6" s="182"/>
      <c r="Q6" s="157"/>
      <c r="R6" s="157"/>
      <c r="S6" s="159"/>
      <c r="T6" s="159"/>
      <c r="U6" s="159"/>
    </row>
    <row r="7" spans="2:21" x14ac:dyDescent="0.2">
      <c r="B7" s="119">
        <v>2</v>
      </c>
      <c r="C7" s="120" t="s">
        <v>1</v>
      </c>
      <c r="D7" s="121">
        <f>SUM('z21'!F5)</f>
        <v>10106</v>
      </c>
      <c r="E7" s="122">
        <f>SUM('z21'!G5)</f>
        <v>6856</v>
      </c>
      <c r="F7" s="123">
        <f>SUM('z21'!H5)</f>
        <v>5889</v>
      </c>
      <c r="G7" s="124">
        <f t="shared" ref="G7:G14" si="1">SUM(F7/E7)*100</f>
        <v>85.895565927654602</v>
      </c>
      <c r="H7" s="125">
        <f>SUM(J7/F7)</f>
        <v>12296.067845134998</v>
      </c>
      <c r="I7" s="284">
        <f>SUM('z21'!E5)</f>
        <v>72411.543540000013</v>
      </c>
      <c r="J7" s="121">
        <f>SUM(I7*1000)</f>
        <v>72411543.540000007</v>
      </c>
      <c r="K7" s="126">
        <f>SUM(J7/D7)</f>
        <v>7165.2032000791614</v>
      </c>
      <c r="M7" s="181"/>
      <c r="N7" s="157"/>
      <c r="O7" s="158"/>
      <c r="P7" s="182"/>
      <c r="Q7" s="157"/>
      <c r="R7" s="157"/>
      <c r="S7" s="159"/>
      <c r="T7" s="159"/>
      <c r="U7" s="159"/>
    </row>
    <row r="8" spans="2:21" x14ac:dyDescent="0.2">
      <c r="B8" s="119">
        <v>3</v>
      </c>
      <c r="C8" s="120" t="s">
        <v>3</v>
      </c>
      <c r="D8" s="121">
        <f>SUM('z21'!F7)</f>
        <v>4950</v>
      </c>
      <c r="E8" s="122">
        <f>SUM('z21'!G7)</f>
        <v>2960</v>
      </c>
      <c r="F8" s="123">
        <f>SUM('z21'!H7)</f>
        <v>2796</v>
      </c>
      <c r="G8" s="124">
        <f t="shared" si="1"/>
        <v>94.459459459459467</v>
      </c>
      <c r="H8" s="125">
        <f t="shared" ref="H8:H12" si="2">SUM(J8/F8)</f>
        <v>9114.3478612303279</v>
      </c>
      <c r="I8" s="284">
        <f>SUM('z21'!E7)</f>
        <v>25483.716619999996</v>
      </c>
      <c r="J8" s="121">
        <f t="shared" ref="J8:J12" si="3">SUM(I8*1000)</f>
        <v>25483716.619999997</v>
      </c>
      <c r="K8" s="126">
        <f t="shared" si="0"/>
        <v>5148.2255797979797</v>
      </c>
      <c r="M8" s="181"/>
      <c r="N8" s="157"/>
      <c r="O8" s="158"/>
      <c r="P8" s="182"/>
      <c r="Q8" s="157"/>
      <c r="R8" s="157"/>
      <c r="S8" s="159"/>
      <c r="T8" s="159"/>
      <c r="U8" s="159"/>
    </row>
    <row r="9" spans="2:21" x14ac:dyDescent="0.2">
      <c r="B9" s="119">
        <v>4</v>
      </c>
      <c r="C9" s="120" t="s">
        <v>4</v>
      </c>
      <c r="D9" s="121">
        <f>SUM('z21'!F8)</f>
        <v>1817</v>
      </c>
      <c r="E9" s="122">
        <f>SUM('z21'!G8)</f>
        <v>1561</v>
      </c>
      <c r="F9" s="123">
        <f>SUM('z21'!H8)</f>
        <v>1487</v>
      </c>
      <c r="G9" s="124">
        <f t="shared" si="1"/>
        <v>95.259449071108264</v>
      </c>
      <c r="H9" s="125">
        <f>SUM(J9/F9)</f>
        <v>14002.898574310693</v>
      </c>
      <c r="I9" s="284">
        <f>SUM('z21'!E8)</f>
        <v>20822.31018</v>
      </c>
      <c r="J9" s="121">
        <f t="shared" si="3"/>
        <v>20822310.18</v>
      </c>
      <c r="K9" s="126">
        <f>SUM(J9/D9)</f>
        <v>11459.719416620803</v>
      </c>
      <c r="M9" s="181"/>
      <c r="N9" s="157"/>
      <c r="O9" s="158"/>
      <c r="P9" s="182"/>
      <c r="Q9" s="157"/>
      <c r="R9" s="157"/>
      <c r="S9" s="159"/>
      <c r="T9" s="159"/>
      <c r="U9" s="159"/>
    </row>
    <row r="10" spans="2:21" x14ac:dyDescent="0.2">
      <c r="B10" s="119">
        <v>5</v>
      </c>
      <c r="C10" s="120" t="s">
        <v>58</v>
      </c>
      <c r="D10" s="121">
        <f>SUM('z21'!F22)</f>
        <v>2256</v>
      </c>
      <c r="E10" s="122">
        <f>SUM('z21'!G22)</f>
        <v>1625</v>
      </c>
      <c r="F10" s="281">
        <f>SUM('z21'!H22)</f>
        <v>1579</v>
      </c>
      <c r="G10" s="124">
        <f t="shared" si="1"/>
        <v>97.169230769230779</v>
      </c>
      <c r="H10" s="125">
        <f t="shared" si="2"/>
        <v>31878.974920835972</v>
      </c>
      <c r="I10" s="284">
        <f>SUM('z21'!E22)</f>
        <v>50336.901399999995</v>
      </c>
      <c r="J10" s="121">
        <f t="shared" si="3"/>
        <v>50336901.399999999</v>
      </c>
      <c r="K10" s="126">
        <f>SUM(J10/D10)</f>
        <v>22312.456294326239</v>
      </c>
      <c r="M10" s="181"/>
      <c r="N10" s="157"/>
      <c r="O10" s="158"/>
      <c r="P10" s="182"/>
      <c r="Q10" s="157"/>
      <c r="R10" s="157"/>
      <c r="S10" s="159"/>
      <c r="T10" s="159"/>
      <c r="U10" s="159"/>
    </row>
    <row r="11" spans="2:21" ht="15" customHeight="1" x14ac:dyDescent="0.2">
      <c r="B11" s="139">
        <v>6</v>
      </c>
      <c r="C11" s="140" t="s">
        <v>59</v>
      </c>
      <c r="D11" s="141">
        <f>SUM('z21'!F24)</f>
        <v>1869</v>
      </c>
      <c r="E11" s="142">
        <f>SUM('z21'!G24)</f>
        <v>1599</v>
      </c>
      <c r="F11" s="282">
        <f>SUM('z21'!H24)</f>
        <v>1453</v>
      </c>
      <c r="G11" s="144">
        <f t="shared" si="1"/>
        <v>90.869293308317694</v>
      </c>
      <c r="H11" s="145">
        <f t="shared" si="2"/>
        <v>29547.404260151412</v>
      </c>
      <c r="I11" s="285">
        <f>SUM('z21'!E24)</f>
        <v>42932.378389999998</v>
      </c>
      <c r="J11" s="141">
        <f t="shared" si="3"/>
        <v>42932378.390000001</v>
      </c>
      <c r="K11" s="146">
        <f>SUM(J11/D11)</f>
        <v>22970.774954521134</v>
      </c>
      <c r="M11" s="181"/>
      <c r="N11" s="157"/>
      <c r="O11" s="158"/>
      <c r="P11" s="182"/>
      <c r="Q11" s="157"/>
      <c r="R11" s="157"/>
      <c r="S11" s="159"/>
      <c r="T11" s="159"/>
      <c r="U11" s="159"/>
    </row>
    <row r="12" spans="2:21" ht="15" customHeight="1" thickBot="1" x14ac:dyDescent="0.25">
      <c r="B12" s="139">
        <v>7</v>
      </c>
      <c r="C12" s="140" t="s">
        <v>11</v>
      </c>
      <c r="D12" s="141">
        <f>SUM('z21'!F17)</f>
        <v>993</v>
      </c>
      <c r="E12" s="142">
        <f>SUM('z21'!G17)</f>
        <v>914</v>
      </c>
      <c r="F12" s="282">
        <f>SUM('z21'!H17)</f>
        <v>864</v>
      </c>
      <c r="G12" s="144">
        <f t="shared" si="1"/>
        <v>94.529540481400446</v>
      </c>
      <c r="H12" s="145">
        <f t="shared" si="2"/>
        <v>9359.3720601851855</v>
      </c>
      <c r="I12" s="285">
        <f>SUM('z21'!E17)</f>
        <v>8086.4974599999996</v>
      </c>
      <c r="J12" s="141">
        <f t="shared" si="3"/>
        <v>8086497.46</v>
      </c>
      <c r="K12" s="146">
        <f t="shared" si="0"/>
        <v>8143.5019738167166</v>
      </c>
      <c r="M12" s="181"/>
      <c r="N12" s="181"/>
      <c r="O12" s="158"/>
      <c r="P12" s="182"/>
      <c r="Q12" s="157"/>
      <c r="R12" s="157"/>
      <c r="S12" s="159"/>
      <c r="T12" s="159"/>
      <c r="U12" s="159"/>
    </row>
    <row r="13" spans="2:21" ht="15" thickBot="1" x14ac:dyDescent="0.25">
      <c r="B13" s="334">
        <v>8</v>
      </c>
      <c r="C13" s="335" t="s">
        <v>314</v>
      </c>
      <c r="D13" s="336">
        <f>SUM(D6:D11)</f>
        <v>21952</v>
      </c>
      <c r="E13" s="337">
        <f>SUM(E6:E11)</f>
        <v>15394</v>
      </c>
      <c r="F13" s="338">
        <f>SUM(F6:F11)</f>
        <v>13727</v>
      </c>
      <c r="G13" s="339">
        <f t="shared" si="1"/>
        <v>89.171105625568401</v>
      </c>
      <c r="H13" s="340">
        <f>SUM(J13/F13)</f>
        <v>15695.294915130766</v>
      </c>
      <c r="I13" s="341">
        <f>SUM(I6:I11)</f>
        <v>215449.31330000001</v>
      </c>
      <c r="J13" s="336">
        <f>SUM(I13*1000)</f>
        <v>215449313.30000001</v>
      </c>
      <c r="K13" s="342">
        <f t="shared" si="0"/>
        <v>9814.5641991618086</v>
      </c>
      <c r="M13" s="181"/>
      <c r="N13" s="181"/>
      <c r="O13" s="158"/>
      <c r="P13" s="182"/>
      <c r="Q13" s="159"/>
      <c r="R13" s="157"/>
      <c r="S13" s="159"/>
      <c r="T13" s="159"/>
      <c r="U13" s="159"/>
    </row>
    <row r="14" spans="2:21" ht="15" thickBot="1" x14ac:dyDescent="0.25">
      <c r="B14" s="334">
        <v>9</v>
      </c>
      <c r="C14" s="335" t="s">
        <v>301</v>
      </c>
      <c r="D14" s="336">
        <f>SUM(D6:D12)</f>
        <v>22945</v>
      </c>
      <c r="E14" s="337">
        <f>SUM(E6:E12)</f>
        <v>16308</v>
      </c>
      <c r="F14" s="338">
        <f>SUM(F6:F12)</f>
        <v>14591</v>
      </c>
      <c r="G14" s="339">
        <f t="shared" si="1"/>
        <v>89.471425067451563</v>
      </c>
      <c r="H14" s="340">
        <f>SUM(J14/F14)</f>
        <v>15320.115876910426</v>
      </c>
      <c r="I14" s="341">
        <f>SUM(I6:I12)</f>
        <v>223535.81076000002</v>
      </c>
      <c r="J14" s="336">
        <f>SUM(I14*1000)</f>
        <v>223535810.76000002</v>
      </c>
      <c r="K14" s="342">
        <f t="shared" si="0"/>
        <v>9742.2449666594039</v>
      </c>
      <c r="M14" s="158"/>
      <c r="N14" s="158"/>
      <c r="O14" s="158"/>
      <c r="P14" s="159"/>
      <c r="Q14" s="159"/>
      <c r="R14" s="159"/>
      <c r="S14" s="159"/>
      <c r="T14" s="159"/>
      <c r="U14" s="157"/>
    </row>
    <row r="16" spans="2:21" x14ac:dyDescent="0.2">
      <c r="D16" s="117">
        <v>82430.332999999999</v>
      </c>
      <c r="E16" s="203"/>
      <c r="I16" s="129"/>
      <c r="J16" s="128"/>
    </row>
    <row r="17" spans="4:16" x14ac:dyDescent="0.2">
      <c r="D17" s="203">
        <f>SUM(D13)/D16*100</f>
        <v>26.63097333356642</v>
      </c>
      <c r="I17" s="129"/>
      <c r="J17" s="130"/>
      <c r="M17" s="286"/>
      <c r="N17" s="287"/>
      <c r="O17" s="287"/>
      <c r="P17" s="286"/>
    </row>
    <row r="18" spans="4:16" ht="12" customHeight="1" x14ac:dyDescent="0.2">
      <c r="I18" s="130"/>
      <c r="J18" s="129"/>
    </row>
    <row r="19" spans="4:16" x14ac:dyDescent="0.2">
      <c r="G19" s="127"/>
      <c r="I19" s="130"/>
      <c r="J19" s="129"/>
    </row>
    <row r="20" spans="4:16" x14ac:dyDescent="0.2">
      <c r="G20" s="127"/>
      <c r="I20" s="130"/>
      <c r="J20" s="149"/>
    </row>
    <row r="21" spans="4:16" ht="16.5" customHeight="1" x14ac:dyDescent="0.2">
      <c r="G21" s="127"/>
      <c r="I21" s="130"/>
      <c r="J21" s="149"/>
    </row>
    <row r="22" spans="4:16" ht="15" customHeight="1" x14ac:dyDescent="0.2">
      <c r="F22" s="127"/>
      <c r="G22" s="127"/>
      <c r="I22" s="130"/>
      <c r="J22" s="149"/>
    </row>
    <row r="23" spans="4:16" ht="15" customHeight="1" x14ac:dyDescent="0.2">
      <c r="G23" s="127"/>
      <c r="I23" s="130"/>
      <c r="J23" s="149"/>
    </row>
    <row r="24" spans="4:16" ht="15" customHeight="1" x14ac:dyDescent="0.2">
      <c r="G24" s="127"/>
      <c r="I24" s="130"/>
    </row>
    <row r="25" spans="4:16" ht="15.75" customHeight="1" x14ac:dyDescent="0.2">
      <c r="G25" s="127"/>
    </row>
    <row r="26" spans="4:16" ht="18" customHeight="1" x14ac:dyDescent="0.2"/>
    <row r="27" spans="4:16" ht="15" customHeight="1" x14ac:dyDescent="0.2"/>
    <row r="32" spans="4:16" ht="63" customHeight="1" x14ac:dyDescent="0.2"/>
    <row r="35" ht="15" customHeight="1" x14ac:dyDescent="0.2"/>
    <row r="36" ht="18.75" customHeight="1" x14ac:dyDescent="0.2"/>
    <row r="37" ht="15.75" customHeight="1" x14ac:dyDescent="0.2"/>
    <row r="38" ht="14.25" customHeight="1" x14ac:dyDescent="0.2"/>
    <row r="39" ht="12" customHeight="1" x14ac:dyDescent="0.2"/>
  </sheetData>
  <mergeCells count="1">
    <mergeCell ref="C2:C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2">
    <tabColor rgb="FFFF9900"/>
    <pageSetUpPr fitToPage="1"/>
  </sheetPr>
  <dimension ref="A1:M33"/>
  <sheetViews>
    <sheetView zoomScale="90" zoomScaleNormal="90" workbookViewId="0"/>
  </sheetViews>
  <sheetFormatPr defaultRowHeight="15" x14ac:dyDescent="0.25"/>
  <cols>
    <col min="1" max="1" width="5.140625" style="15" customWidth="1"/>
    <col min="2" max="2" width="13.42578125" style="15" customWidth="1"/>
    <col min="3" max="3" width="8.28515625" style="15" customWidth="1"/>
    <col min="4" max="4" width="9.140625" style="15"/>
    <col min="5" max="5" width="11" style="15" customWidth="1"/>
    <col min="6" max="6" width="10.5703125" style="15" customWidth="1"/>
    <col min="7" max="7" width="10" style="15" customWidth="1"/>
    <col min="8" max="9" width="10.85546875" style="15" customWidth="1"/>
    <col min="10" max="10" width="11.5703125" style="10" customWidth="1"/>
    <col min="11" max="11" width="7.85546875" style="10" customWidth="1"/>
    <col min="12" max="12" width="14.42578125" style="10" customWidth="1"/>
    <col min="13" max="13" width="11.5703125" style="15" customWidth="1"/>
    <col min="14" max="16384" width="9.140625" style="15"/>
  </cols>
  <sheetData>
    <row r="1" spans="1:13" x14ac:dyDescent="0.25">
      <c r="A1" s="15" t="s">
        <v>156</v>
      </c>
    </row>
    <row r="2" spans="1:13" x14ac:dyDescent="0.25">
      <c r="A2" s="15" t="s">
        <v>325</v>
      </c>
    </row>
    <row r="3" spans="1:13" x14ac:dyDescent="0.25">
      <c r="A3" s="348">
        <f>SUM(P__!K26)</f>
        <v>2021</v>
      </c>
      <c r="B3" s="368" t="s">
        <v>101</v>
      </c>
      <c r="C3" s="348" t="s">
        <v>136</v>
      </c>
      <c r="D3" s="348" t="s">
        <v>135</v>
      </c>
      <c r="E3" s="348" t="s">
        <v>149</v>
      </c>
      <c r="F3" s="348" t="s">
        <v>139</v>
      </c>
      <c r="G3" s="348" t="s">
        <v>150</v>
      </c>
      <c r="H3" s="348" t="s">
        <v>148</v>
      </c>
      <c r="I3" s="348" t="s">
        <v>299</v>
      </c>
      <c r="J3" s="348"/>
      <c r="K3" s="348" t="s">
        <v>71</v>
      </c>
      <c r="L3" s="348" t="s">
        <v>151</v>
      </c>
      <c r="M3" s="371" t="s">
        <v>147</v>
      </c>
    </row>
    <row r="4" spans="1:13" x14ac:dyDescent="0.25">
      <c r="A4" s="16">
        <v>1</v>
      </c>
      <c r="B4" s="7" t="s">
        <v>73</v>
      </c>
      <c r="C4" s="6">
        <f>SUM(P__!U27)</f>
        <v>85.714285714285708</v>
      </c>
      <c r="D4" s="369">
        <f>SUM(P__!V27)</f>
        <v>40</v>
      </c>
      <c r="E4" s="6">
        <f>SUM(P__!W27)</f>
        <v>97.087378640776706</v>
      </c>
      <c r="F4" s="6">
        <f>SUMIF(P__!X27,"&gt;1",(P__!X27))</f>
        <v>100</v>
      </c>
      <c r="G4" s="6">
        <f>SUMIF(P__!Y27,"&gt;1",(P__!Y27))</f>
        <v>94.827586206896555</v>
      </c>
      <c r="H4" s="6">
        <f>SUMIF(P__!Z27,"&gt;1",(P__!Z27))</f>
        <v>87.5</v>
      </c>
      <c r="I4" s="6">
        <f>SUMIF(P__!AA27,"&gt;1",(P__!AA27))</f>
        <v>87.179487179487182</v>
      </c>
      <c r="J4" s="7">
        <v>1801</v>
      </c>
      <c r="K4" s="19">
        <f>RANK(D4,$D$4:$D$25,1)+COUNTIF($D$4:D4,D4)-1</f>
        <v>6</v>
      </c>
      <c r="L4" s="7" t="str">
        <f>INDEX(B4:I25,MATCH(1,K4:K25,0),1)</f>
        <v>Łańcut</v>
      </c>
      <c r="M4" s="6">
        <f>INDEX(B4:I25,MATCH(1,K4:K25,0),3)</f>
        <v>24.731182795698924</v>
      </c>
    </row>
    <row r="5" spans="1:13" x14ac:dyDescent="0.25">
      <c r="A5" s="16">
        <v>2</v>
      </c>
      <c r="B5" s="7" t="s">
        <v>74</v>
      </c>
      <c r="C5" s="6">
        <f>SUM(P__!U28)</f>
        <v>85.618729096989966</v>
      </c>
      <c r="D5" s="369">
        <f>SUM(P__!V28)</f>
        <v>59.259259259259252</v>
      </c>
      <c r="E5" s="6">
        <f>SUM(P__!W28)</f>
        <v>96.428571428571431</v>
      </c>
      <c r="F5" s="6">
        <f>SUMIF(P__!X28,"&gt;1",(P__!X28))</f>
        <v>95.161290322580655</v>
      </c>
      <c r="G5" s="6">
        <f>SUM(P__!Y28)</f>
        <v>99.090909090909093</v>
      </c>
      <c r="H5" s="6">
        <f>SUM(P__!Z28)</f>
        <v>100</v>
      </c>
      <c r="I5" s="6">
        <f>SUM(P__!AA28)</f>
        <v>92.10526315789474</v>
      </c>
      <c r="J5" s="7">
        <v>1802</v>
      </c>
      <c r="K5" s="19">
        <f>RANK(D5,$D$4:$D$25,1)+COUNTIF($D$4:D5,D5)-1</f>
        <v>16</v>
      </c>
      <c r="L5" s="18" t="str">
        <f>INDEX(B4:I25,MATCH(2,K4:K25,0),1)</f>
        <v>Jasło</v>
      </c>
      <c r="M5" s="6">
        <f>INDEX(B4:I25,MATCH(2,K4:K25,0),3)</f>
        <v>34.782608695652172</v>
      </c>
    </row>
    <row r="6" spans="1:13" x14ac:dyDescent="0.25">
      <c r="A6" s="16">
        <v>3</v>
      </c>
      <c r="B6" s="7" t="s">
        <v>75</v>
      </c>
      <c r="C6" s="6">
        <f>SUM(P__!U29)</f>
        <v>78.968253968253961</v>
      </c>
      <c r="D6" s="369">
        <f>SUM(P__!V29)</f>
        <v>52.631578947368418</v>
      </c>
      <c r="E6" s="6">
        <f>SUM(P__!W29)</f>
        <v>98.75</v>
      </c>
      <c r="F6" s="6">
        <f>SUMIF(P__!X29,"&gt;1",(P__!X29))</f>
        <v>75</v>
      </c>
      <c r="G6" s="6">
        <f>SUM(P__!Y29)</f>
        <v>100</v>
      </c>
      <c r="H6" s="6">
        <f>SUM(P__!Z29)</f>
        <v>97.183098591549296</v>
      </c>
      <c r="I6" s="6">
        <f>SUM(P__!AA29)</f>
        <v>91.428571428571431</v>
      </c>
      <c r="J6" s="7">
        <v>1803</v>
      </c>
      <c r="K6" s="19">
        <f>RANK(D6,$D$4:$D$25,1)+COUNTIF($D$4:D6,D6)-1</f>
        <v>11</v>
      </c>
      <c r="L6" s="18" t="str">
        <f>INDEX(B4:I25,MATCH(3,K4:K25,0),1)</f>
        <v>Tarnobrzeg</v>
      </c>
      <c r="M6" s="6">
        <f>INDEX(B4:I25,MATCH(3,K4:K25,0),3)</f>
        <v>37.142857142857146</v>
      </c>
    </row>
    <row r="7" spans="1:13" x14ac:dyDescent="0.25">
      <c r="A7" s="16">
        <v>4</v>
      </c>
      <c r="B7" s="7" t="s">
        <v>76</v>
      </c>
      <c r="C7" s="6">
        <f>SUM(P__!U30)</f>
        <v>86.52849740932642</v>
      </c>
      <c r="D7" s="369">
        <f>SUM(P__!V30)</f>
        <v>66.666666666666657</v>
      </c>
      <c r="E7" s="6">
        <f>SUM(P__!W30)</f>
        <v>97.407407407407405</v>
      </c>
      <c r="F7" s="6">
        <f>SUMIF(P__!X30,"&gt;1",(P__!X30))</f>
        <v>99.625468164794</v>
      </c>
      <c r="G7" s="6">
        <f>SUM(P__!Y30)</f>
        <v>100</v>
      </c>
      <c r="H7" s="6">
        <f>SUM(P__!Z30)</f>
        <v>99.107142857142861</v>
      </c>
      <c r="I7" s="6">
        <f>SUM(P__!AA30)</f>
        <v>80.701754385964904</v>
      </c>
      <c r="J7" s="7">
        <v>1804</v>
      </c>
      <c r="K7" s="19">
        <f>RANK(D7,$D$4:$D$25,1)+COUNTIF($D$4:D7,D7)-1</f>
        <v>17</v>
      </c>
      <c r="L7" s="18" t="str">
        <f>INDEX(B4:I25,MATCH(4,K4:K25,0),1)</f>
        <v>Nisko</v>
      </c>
      <c r="M7" s="6">
        <f>INDEX(B4:I25,MATCH(4,K4:K25,0),3)</f>
        <v>37.681159420289859</v>
      </c>
    </row>
    <row r="8" spans="1:13" x14ac:dyDescent="0.25">
      <c r="A8" s="16">
        <v>5</v>
      </c>
      <c r="B8" s="7" t="s">
        <v>77</v>
      </c>
      <c r="C8" s="6">
        <f>SUM(P__!U31)</f>
        <v>91.520467836257311</v>
      </c>
      <c r="D8" s="369">
        <f>SUM(P__!V31)</f>
        <v>34.782608695652172</v>
      </c>
      <c r="E8" s="6">
        <f>SUM(P__!W31)</f>
        <v>93.589743589743591</v>
      </c>
      <c r="F8" s="6">
        <f>SUMIF(P__!X31,"&gt;1",(P__!X31))</f>
        <v>100</v>
      </c>
      <c r="G8" s="6">
        <f>SUM(P__!Y31)</f>
        <v>97.883597883597886</v>
      </c>
      <c r="H8" s="6">
        <f>SUM(P__!Z31)</f>
        <v>84.552845528455293</v>
      </c>
      <c r="I8" s="6">
        <f>SUM(P__!AA31)</f>
        <v>93.333333333333329</v>
      </c>
      <c r="J8" s="7">
        <v>1805</v>
      </c>
      <c r="K8" s="19">
        <f>RANK(D8,$D$4:$D$25,1)+COUNTIF($D$4:D8,D8)-1</f>
        <v>2</v>
      </c>
      <c r="L8" s="18" t="str">
        <f>INDEX(B4:I25,MATCH(5,K4:K25,0),1)</f>
        <v>Leżajsk</v>
      </c>
      <c r="M8" s="6">
        <f>INDEX(B4:I25,MATCH(5,K4:K25,0),3)</f>
        <v>39.784946236559136</v>
      </c>
    </row>
    <row r="9" spans="1:13" x14ac:dyDescent="0.25">
      <c r="A9" s="16">
        <v>6</v>
      </c>
      <c r="B9" s="7" t="s">
        <v>78</v>
      </c>
      <c r="C9" s="6">
        <f>SUM(P__!U32)</f>
        <v>88.81578947368422</v>
      </c>
      <c r="D9" s="369">
        <f>SUM(P__!V32)</f>
        <v>82.857142857142861</v>
      </c>
      <c r="E9" s="6">
        <f>SUM(P__!W32)</f>
        <v>98.260869565217391</v>
      </c>
      <c r="F9" s="6">
        <f>SUMIF(P__!X32,"&gt;1",(P__!X32))</f>
        <v>100</v>
      </c>
      <c r="G9" s="6">
        <f>SUM(P__!Y32)</f>
        <v>98.387096774193552</v>
      </c>
      <c r="H9" s="6">
        <f>SUM(P__!Z32)</f>
        <v>95.348837209302332</v>
      </c>
      <c r="I9" s="6">
        <f>SUM(P__!AA32)</f>
        <v>100</v>
      </c>
      <c r="J9" s="7">
        <v>1806</v>
      </c>
      <c r="K9" s="19">
        <f>RANK(D9,$D$4:$D$25,1)+COUNTIF($D$4:D9,D9)-1</f>
        <v>21</v>
      </c>
      <c r="L9" s="18" t="str">
        <f>INDEX(B4:I25,MATCH(6,K4:K25,0),1)</f>
        <v>Ustrzyki Dolne</v>
      </c>
      <c r="M9" s="6">
        <f>INDEX(B4:I25,MATCH(6,K4:K25,0),3)</f>
        <v>40</v>
      </c>
    </row>
    <row r="10" spans="1:13" x14ac:dyDescent="0.25">
      <c r="A10" s="218">
        <v>7</v>
      </c>
      <c r="B10" s="219" t="s">
        <v>79</v>
      </c>
      <c r="C10" s="215">
        <f>SUM(P__!U33)</f>
        <v>82.916666666666671</v>
      </c>
      <c r="D10" s="370">
        <f>SUM(P__!V33)</f>
        <v>45.283018867924532</v>
      </c>
      <c r="E10" s="215">
        <f>SUM(P__!W33)</f>
        <v>96.428571428571431</v>
      </c>
      <c r="F10" s="215">
        <f>SUMIF(P__!X33,"&gt;1",(P__!X33))</f>
        <v>96.428571428571431</v>
      </c>
      <c r="G10" s="215">
        <f>SUM(P__!Y33)</f>
        <v>98.165137614678898</v>
      </c>
      <c r="H10" s="215">
        <f>SUM(P__!Z33)</f>
        <v>88.059701492537314</v>
      </c>
      <c r="I10" s="215">
        <f>SUM(P__!AA33)</f>
        <v>97.5</v>
      </c>
      <c r="J10" s="219" t="s">
        <v>143</v>
      </c>
      <c r="K10" s="19">
        <f>RANK(D10,$D$4:$D$25,1)+COUNTIF($D$4:D10,D10)-1</f>
        <v>8</v>
      </c>
      <c r="L10" s="18" t="str">
        <f>INDEX(B4:I25,MATCH(7,K4:K25,0),1)</f>
        <v>Przemyśl</v>
      </c>
      <c r="M10" s="6">
        <f>INDEX(B4:I25,MATCH(7,K4:K25,0),3)</f>
        <v>44.776119402985074</v>
      </c>
    </row>
    <row r="11" spans="1:13" x14ac:dyDescent="0.25">
      <c r="A11" s="16">
        <v>8</v>
      </c>
      <c r="B11" s="7" t="s">
        <v>80</v>
      </c>
      <c r="C11" s="6">
        <f>SUM(P__!U35)</f>
        <v>91.017964071856284</v>
      </c>
      <c r="D11" s="369">
        <f>SUM(P__!V35)</f>
        <v>39.784946236559136</v>
      </c>
      <c r="E11" s="6">
        <f>SUM(P__!W35)</f>
        <v>93.181818181818173</v>
      </c>
      <c r="F11" s="6">
        <f>SUMIF(P__!X35,"&gt;1",(P__!X35))</f>
        <v>94.73684210526315</v>
      </c>
      <c r="G11" s="6">
        <f>SUM(P__!Y35)</f>
        <v>95.689655172413794</v>
      </c>
      <c r="H11" s="6">
        <f>SUM(P__!Z35)</f>
        <v>80</v>
      </c>
      <c r="I11" s="6">
        <f>SUM(P__!AA35)</f>
        <v>97.142857142857139</v>
      </c>
      <c r="J11" s="7">
        <v>1808</v>
      </c>
      <c r="K11" s="19">
        <f>RANK(D11,$D$4:$D$25,1)+COUNTIF($D$4:D11,D11)-1</f>
        <v>5</v>
      </c>
      <c r="L11" s="18" t="str">
        <f>INDEX(B4:I25,MATCH(8,K4:K25,0),1)</f>
        <v>Krosno</v>
      </c>
      <c r="M11" s="6">
        <f>INDEX(B4:I25,MATCH(8,K4:K25,0),3)</f>
        <v>45.283018867924532</v>
      </c>
    </row>
    <row r="12" spans="1:13" x14ac:dyDescent="0.25">
      <c r="A12" s="16">
        <v>9</v>
      </c>
      <c r="B12" s="7" t="s">
        <v>81</v>
      </c>
      <c r="C12" s="6">
        <f>SUM(P__!U36)</f>
        <v>86.075949367088612</v>
      </c>
      <c r="D12" s="369">
        <f>SUM(P__!V36)</f>
        <v>50</v>
      </c>
      <c r="E12" s="6">
        <f>SUM(P__!W36)</f>
        <v>98.101265822784811</v>
      </c>
      <c r="F12" s="6">
        <f>SUMIF(P__!X36,"&gt;1",(P__!X36))</f>
        <v>100</v>
      </c>
      <c r="G12" s="6">
        <f>SUM(P__!Y36)</f>
        <v>84.05797101449275</v>
      </c>
      <c r="H12" s="431">
        <f>SUMIF(P__!Z36,"&gt;1",(P__!Z36))</f>
        <v>0</v>
      </c>
      <c r="I12" s="6">
        <f>SUM(P__!AA36)</f>
        <v>89.583333333333343</v>
      </c>
      <c r="J12" s="7">
        <v>1809</v>
      </c>
      <c r="K12" s="19">
        <f>RANK(D12,$D$4:$D$25,1)+COUNTIF($D$4:D12,D12)-1</f>
        <v>9</v>
      </c>
      <c r="L12" s="18" t="str">
        <f>INDEX(B4:I25,MATCH(9,K4:K25,0),1)</f>
        <v>Lubaczów</v>
      </c>
      <c r="M12" s="6">
        <f>INDEX(B4:I25,MATCH(9,K4:K25,0),3)</f>
        <v>50</v>
      </c>
    </row>
    <row r="13" spans="1:13" x14ac:dyDescent="0.25">
      <c r="A13" s="16">
        <v>10</v>
      </c>
      <c r="B13" s="7" t="s">
        <v>82</v>
      </c>
      <c r="C13" s="6">
        <f>SUM(P__!U37)</f>
        <v>86.5625</v>
      </c>
      <c r="D13" s="369">
        <f>SUM(P__!V37)</f>
        <v>24.731182795698924</v>
      </c>
      <c r="E13" s="6">
        <f>SUM(P__!W37)</f>
        <v>99.350649350649363</v>
      </c>
      <c r="F13" s="6">
        <f>SUMIF(P__!X37,"&gt;1",(P__!X37))</f>
        <v>97.61904761904762</v>
      </c>
      <c r="G13" s="6">
        <f>SUM(P__!Y37)</f>
        <v>100</v>
      </c>
      <c r="H13" s="6">
        <f>SUM(P__!Z37)</f>
        <v>100</v>
      </c>
      <c r="I13" s="6">
        <f>SUM(P__!AA37)</f>
        <v>95.918367346938766</v>
      </c>
      <c r="J13" s="7">
        <v>1810</v>
      </c>
      <c r="K13" s="19">
        <f>RANK(D13,$D$4:$D$25,1)+COUNTIF($D$4:D13,D13)-1</f>
        <v>1</v>
      </c>
      <c r="L13" s="18" t="str">
        <f>INDEX(B4:I25,MATCH(10,K4:K25,0),1)</f>
        <v>Podkarpacie</v>
      </c>
      <c r="M13" s="6">
        <f>INDEX(B4:I25,MATCH(10,K4:K25,0),3)</f>
        <v>52.031978680879412</v>
      </c>
    </row>
    <row r="14" spans="1:13" x14ac:dyDescent="0.25">
      <c r="A14" s="16">
        <v>11</v>
      </c>
      <c r="B14" s="7" t="s">
        <v>83</v>
      </c>
      <c r="C14" s="6">
        <f>SUM(P__!U38)</f>
        <v>87.341772151898738</v>
      </c>
      <c r="D14" s="369">
        <f>SUM(P__!V38)</f>
        <v>69.230769230769226</v>
      </c>
      <c r="E14" s="6">
        <f>SUM(P__!W38)</f>
        <v>84.063745019920319</v>
      </c>
      <c r="F14" s="6">
        <f>SUMIF(P__!X38,"&gt;1",(P__!X38))</f>
        <v>98.461538461538467</v>
      </c>
      <c r="G14" s="6">
        <f>SUM(P__!Y38)</f>
        <v>98.165137614678898</v>
      </c>
      <c r="H14" s="6">
        <f>SUM(P__!Z38)</f>
        <v>86.666666666666671</v>
      </c>
      <c r="I14" s="6">
        <f>SUM(P__!AA38)</f>
        <v>100</v>
      </c>
      <c r="J14" s="7">
        <v>1811</v>
      </c>
      <c r="K14" s="19">
        <f>RANK(D14,$D$4:$D$25,1)+COUNTIF($D$4:D14,D14)-1</f>
        <v>19</v>
      </c>
      <c r="L14" s="18" t="str">
        <f>INDEX(B4:I25,MATCH(11,K4:K25,0),1)</f>
        <v>Dębica</v>
      </c>
      <c r="M14" s="6">
        <f>INDEX(B4:I25,MATCH(11,K4:K25,0),3)</f>
        <v>52.631578947368418</v>
      </c>
    </row>
    <row r="15" spans="1:13" x14ac:dyDescent="0.25">
      <c r="A15" s="16">
        <v>12</v>
      </c>
      <c r="B15" s="7" t="s">
        <v>84</v>
      </c>
      <c r="C15" s="6">
        <f>SUM(P__!U39)</f>
        <v>75.786924939467312</v>
      </c>
      <c r="D15" s="369">
        <f>SUM(P__!V39)</f>
        <v>37.681159420289859</v>
      </c>
      <c r="E15" s="6">
        <f>SUM(P__!W39)</f>
        <v>86.797752808988761</v>
      </c>
      <c r="F15" s="6">
        <f>SUMIF(P__!X39,"&gt;1",(P__!X39))</f>
        <v>72.222222222222214</v>
      </c>
      <c r="G15" s="6">
        <f>SUM(P__!Y39)</f>
        <v>92.20779220779221</v>
      </c>
      <c r="H15" s="6">
        <f>SUM(P__!Z39)</f>
        <v>81.395348837209298</v>
      </c>
      <c r="I15" s="6">
        <f>SUM(P__!AA39)</f>
        <v>88.235294117647058</v>
      </c>
      <c r="J15" s="7">
        <v>1812</v>
      </c>
      <c r="K15" s="19">
        <f>RANK(D15,$D$4:$D$25,1)+COUNTIF($D$4:D15,D15)-1</f>
        <v>4</v>
      </c>
      <c r="L15" s="154" t="str">
        <f>INDEX(B4:I25,MATCH(12,K4:K25,0),1)</f>
        <v>Rzeszów</v>
      </c>
      <c r="M15" s="22">
        <f>INDEX(B4:I25,MATCH(12,K4:K25,0),3)</f>
        <v>55.313351498637594</v>
      </c>
    </row>
    <row r="16" spans="1:13" x14ac:dyDescent="0.25">
      <c r="A16" s="16">
        <v>13</v>
      </c>
      <c r="B16" s="7" t="s">
        <v>85</v>
      </c>
      <c r="C16" s="6">
        <f>SUM(P__!U40)</f>
        <v>78.01418439716312</v>
      </c>
      <c r="D16" s="369">
        <f>SUM(P__!V40)</f>
        <v>56.862745098039213</v>
      </c>
      <c r="E16" s="6">
        <f>SUM(P__!W40)</f>
        <v>89.562289562289564</v>
      </c>
      <c r="F16" s="6">
        <f>SUMIF(P__!X40,"&gt;1",(P__!X40))</f>
        <v>88.535031847133766</v>
      </c>
      <c r="G16" s="6">
        <f>SUM(P__!Y40)</f>
        <v>91.025641025641022</v>
      </c>
      <c r="H16" s="6">
        <f>SUM(P__!Z40)</f>
        <v>76.785714285714292</v>
      </c>
      <c r="I16" s="6">
        <f>SUM(P__!AA40)</f>
        <v>82.142857142857139</v>
      </c>
      <c r="J16" s="7">
        <v>1814</v>
      </c>
      <c r="K16" s="156">
        <f>RANK(D16,$D$4:$D$25,1)+COUNTIF($D$4:D16,D16)-1</f>
        <v>14</v>
      </c>
      <c r="L16" s="155" t="str">
        <f>INDEX(B4:I25,MATCH(13,K4:K25,0),1)</f>
        <v>Sanok</v>
      </c>
      <c r="M16" s="22">
        <f>INDEX(B4:I25,MATCH(13,K4:K25,0),3)</f>
        <v>55.833333333333336</v>
      </c>
    </row>
    <row r="17" spans="1:13" x14ac:dyDescent="0.25">
      <c r="A17" s="16">
        <v>14</v>
      </c>
      <c r="B17" s="7" t="s">
        <v>86</v>
      </c>
      <c r="C17" s="6">
        <f>SUM(P__!U41)</f>
        <v>80.392156862745097</v>
      </c>
      <c r="D17" s="369">
        <f>SUM(P__!V41)</f>
        <v>77.272727272727266</v>
      </c>
      <c r="E17" s="6">
        <f>SUM(P__!W41)</f>
        <v>81.818181818181827</v>
      </c>
      <c r="F17" s="6">
        <f>SUMIF(P__!X41,"&gt;1",(P__!X41))</f>
        <v>92.957746478873233</v>
      </c>
      <c r="G17" s="6">
        <f>SUM(P__!Y41)</f>
        <v>92.125984251968504</v>
      </c>
      <c r="H17" s="6">
        <f>SUM(P__!Z41)</f>
        <v>82.022471910112358</v>
      </c>
      <c r="I17" s="6">
        <f>SUM(P__!AA41)</f>
        <v>85.714285714285708</v>
      </c>
      <c r="J17" s="7">
        <v>1815</v>
      </c>
      <c r="K17" s="156">
        <f>RANK(D17,$D$4:$D$25,1)+COUNTIF($D$4:D17,D17)-1</f>
        <v>20</v>
      </c>
      <c r="L17" s="221" t="str">
        <f>INDEX(B4:I25,MATCH(14,K4:K25,0),1)</f>
        <v>Przeworsk</v>
      </c>
      <c r="M17" s="216">
        <f>INDEX(B4:I25,MATCH(14,K4:K25,0),3)</f>
        <v>56.862745098039213</v>
      </c>
    </row>
    <row r="18" spans="1:13" x14ac:dyDescent="0.25">
      <c r="A18" s="218">
        <v>15</v>
      </c>
      <c r="B18" s="219" t="s">
        <v>87</v>
      </c>
      <c r="C18" s="215">
        <f>SUM(P__!U43)</f>
        <v>83.909574468085097</v>
      </c>
      <c r="D18" s="370">
        <f>SUM(P__!V43)</f>
        <v>55.313351498637594</v>
      </c>
      <c r="E18" s="215">
        <f>SUM(P__!W43)</f>
        <v>90.099009900990097</v>
      </c>
      <c r="F18" s="215">
        <f>SUMIF(P__!X43,"&gt;1",(P__!X43))</f>
        <v>82.051282051282044</v>
      </c>
      <c r="G18" s="215">
        <f>SUM(P__!Y43)</f>
        <v>97.206703910614522</v>
      </c>
      <c r="H18" s="215">
        <f>SUM(P__!Z43)</f>
        <v>91.803278688524586</v>
      </c>
      <c r="I18" s="215">
        <f>SUM(P__!AA43)</f>
        <v>91.428571428571431</v>
      </c>
      <c r="J18" s="219" t="s">
        <v>145</v>
      </c>
      <c r="K18" s="19">
        <f>RANK(D18,$D$4:$D$25,1)+COUNTIF($D$4:D18,D18)-1</f>
        <v>12</v>
      </c>
      <c r="L18" s="7" t="str">
        <f>INDEX(B4:I25,MATCH(15,K4:K25,0),1)</f>
        <v>Strzyżów</v>
      </c>
      <c r="M18" s="6">
        <f>INDEX(B4:I25,MATCH(15,K4:K25,0),3)</f>
        <v>57.692307692307686</v>
      </c>
    </row>
    <row r="19" spans="1:13" x14ac:dyDescent="0.25">
      <c r="A19" s="16">
        <v>16</v>
      </c>
      <c r="B19" s="7" t="s">
        <v>88</v>
      </c>
      <c r="C19" s="6">
        <f>SUM(P__!U44)</f>
        <v>85.561497326203209</v>
      </c>
      <c r="D19" s="369">
        <f>SUM(P__!V44)</f>
        <v>55.833333333333336</v>
      </c>
      <c r="E19" s="6">
        <f>SUM(P__!W44)</f>
        <v>93.75</v>
      </c>
      <c r="F19" s="6">
        <f>SUMIF(P__!X44,"&gt;1",(P__!X44))</f>
        <v>100</v>
      </c>
      <c r="G19" s="6">
        <f>SUM(P__!Y44)</f>
        <v>100</v>
      </c>
      <c r="H19" s="6">
        <f>SUM(P__!Z44)</f>
        <v>94.230769230769226</v>
      </c>
      <c r="I19" s="6">
        <f>SUM(P__!AA44)</f>
        <v>93.103448275862064</v>
      </c>
      <c r="J19" s="7">
        <v>1817</v>
      </c>
      <c r="K19" s="19">
        <f>RANK(D19,$D$4:$D$25,1)+COUNTIF($D$4:D19,D19)-1</f>
        <v>13</v>
      </c>
      <c r="L19" s="7" t="str">
        <f>INDEX(B4:I25,MATCH(16,K4:K25,0),1)</f>
        <v>Brzozów</v>
      </c>
      <c r="M19" s="6">
        <f>INDEX(B4:I25,MATCH(16,K4:K25,0),3)</f>
        <v>59.259259259259252</v>
      </c>
    </row>
    <row r="20" spans="1:13" x14ac:dyDescent="0.25">
      <c r="A20" s="16">
        <v>17</v>
      </c>
      <c r="B20" s="7" t="s">
        <v>89</v>
      </c>
      <c r="C20" s="6">
        <f>SUM(P__!U45)</f>
        <v>82.392026578073086</v>
      </c>
      <c r="D20" s="369">
        <f>SUM(P__!V45)</f>
        <v>68.387096774193552</v>
      </c>
      <c r="E20" s="6">
        <f>SUM(P__!W45)</f>
        <v>99.236641221374043</v>
      </c>
      <c r="F20" s="6">
        <f>SUMIF(P__!X45,"&gt;1",(P__!X45))</f>
        <v>92.592592592592595</v>
      </c>
      <c r="G20" s="6">
        <f>SUM(P__!Y45)</f>
        <v>88.659793814432987</v>
      </c>
      <c r="H20" s="6">
        <f>SUM(P__!Z45)</f>
        <v>96.296296296296291</v>
      </c>
      <c r="I20" s="6">
        <f>SUM(P__!AA45)</f>
        <v>94.444444444444443</v>
      </c>
      <c r="J20" s="7">
        <v>1818</v>
      </c>
      <c r="K20" s="19">
        <f>RANK(D20,$D$4:$D$25,1)+COUNTIF($D$4:D20,D20)-1</f>
        <v>18</v>
      </c>
      <c r="L20" s="7" t="str">
        <f>INDEX(B4:I25,MATCH(17,K4:K25,0),1)</f>
        <v>Jarosław</v>
      </c>
      <c r="M20" s="6">
        <f>INDEX(B4:I25,MATCH(17,K4:K25,0),3)</f>
        <v>66.666666666666657</v>
      </c>
    </row>
    <row r="21" spans="1:13" x14ac:dyDescent="0.25">
      <c r="A21" s="16">
        <v>18</v>
      </c>
      <c r="B21" s="7" t="s">
        <v>90</v>
      </c>
      <c r="C21" s="6">
        <f>SUM(P__!U46)</f>
        <v>88.103448275862078</v>
      </c>
      <c r="D21" s="369">
        <f>SUM(P__!V46)</f>
        <v>57.692307692307686</v>
      </c>
      <c r="E21" s="6">
        <f>SUM(P__!W46)</f>
        <v>96.491228070175438</v>
      </c>
      <c r="F21" s="6">
        <f>SUMIF(P__!X46,"&gt;1",(P__!X46))</f>
        <v>100</v>
      </c>
      <c r="G21" s="6">
        <f>SUM(P__!Y46)</f>
        <v>96.590909090909093</v>
      </c>
      <c r="H21" s="6">
        <f>SUM(P__!Z46)</f>
        <v>91.379310344827587</v>
      </c>
      <c r="I21" s="6">
        <f>SUM(P__!AA46)</f>
        <v>100</v>
      </c>
      <c r="J21" s="7">
        <v>1819</v>
      </c>
      <c r="K21" s="19">
        <f>RANK(D21,$D$4:$D$25,1)+COUNTIF($D$4:D21,D21)-1</f>
        <v>15</v>
      </c>
      <c r="L21" s="7" t="str">
        <f>INDEX(B4:I25,MATCH(18,K4:K25,0),1)</f>
        <v>Stalowa Wola</v>
      </c>
      <c r="M21" s="6">
        <f>INDEX(B4:I25,MATCH(18,K4:K25,0),3)</f>
        <v>68.387096774193552</v>
      </c>
    </row>
    <row r="22" spans="1:13" x14ac:dyDescent="0.25">
      <c r="A22" s="218">
        <v>19</v>
      </c>
      <c r="B22" s="219" t="s">
        <v>91</v>
      </c>
      <c r="C22" s="215">
        <f>SUM(P__!U47)</f>
        <v>91.21621621621621</v>
      </c>
      <c r="D22" s="370">
        <f>SUM(P__!V47)</f>
        <v>37.142857142857146</v>
      </c>
      <c r="E22" s="215">
        <f>SUM(P__!W47)</f>
        <v>96.385542168674704</v>
      </c>
      <c r="F22" s="215">
        <f>SUMIF(P__!X47,"&gt;1",(P__!X47))</f>
        <v>97.132616487455195</v>
      </c>
      <c r="G22" s="215">
        <f>SUM(P__!Y47)</f>
        <v>100</v>
      </c>
      <c r="H22" s="215">
        <f>SUM(P__!Z47)</f>
        <v>100</v>
      </c>
      <c r="I22" s="215">
        <f>SUM(P__!AA47)</f>
        <v>91.304347826086953</v>
      </c>
      <c r="J22" s="219" t="s">
        <v>146</v>
      </c>
      <c r="K22" s="19">
        <f>RANK(D22,$D$4:$D$25,1)+COUNTIF($D$4:D22,D22)-1</f>
        <v>3</v>
      </c>
      <c r="L22" s="7" t="str">
        <f>INDEX(B4:I25,MATCH(19,K4:K25,0),1)</f>
        <v>Mielec</v>
      </c>
      <c r="M22" s="6">
        <f>INDEX(B4:I25,MATCH(19,K4:K25,0),3)</f>
        <v>69.230769230769226</v>
      </c>
    </row>
    <row r="23" spans="1:13" x14ac:dyDescent="0.25">
      <c r="A23" s="16">
        <v>20</v>
      </c>
      <c r="B23" s="7" t="s">
        <v>92</v>
      </c>
      <c r="C23" s="6">
        <f>SUM(P__!U48)</f>
        <v>83.185840707964601</v>
      </c>
      <c r="D23" s="369">
        <f>SUM(P__!V48)</f>
        <v>90</v>
      </c>
      <c r="E23" s="6">
        <f>SUM(P__!W48)</f>
        <v>94.594594594594597</v>
      </c>
      <c r="F23" s="6">
        <f>SUMIF(P__!X48,"&gt;1",(P__!X48))</f>
        <v>83.333333333333343</v>
      </c>
      <c r="G23" s="6">
        <f>SUM(P__!Y48)</f>
        <v>82.857142857142861</v>
      </c>
      <c r="H23" s="6">
        <f>SUM(P__!Z48)</f>
        <v>100</v>
      </c>
      <c r="I23" s="6">
        <f>SUM(P__!AA48)</f>
        <v>89.743589743589752</v>
      </c>
      <c r="J23" s="7">
        <v>1821</v>
      </c>
      <c r="K23" s="19">
        <f>RANK(D23,$D$4:$D$25,1)+COUNTIF($D$4:D23,D23)-1</f>
        <v>22</v>
      </c>
      <c r="L23" s="7" t="str">
        <f>INDEX(B4:I25,MATCH(20,K4:K25,0),1)</f>
        <v>Ropczyce</v>
      </c>
      <c r="M23" s="6">
        <f>INDEX(B4:I25,MATCH(20,K4:K25,0),3)</f>
        <v>77.272727272727266</v>
      </c>
    </row>
    <row r="24" spans="1:13" x14ac:dyDescent="0.25">
      <c r="A24" s="218">
        <v>21</v>
      </c>
      <c r="B24" s="219" t="s">
        <v>97</v>
      </c>
      <c r="C24" s="215">
        <f>SUM(P__!U49)</f>
        <v>85.784313725490193</v>
      </c>
      <c r="D24" s="370">
        <f>SUM(P__!V49)</f>
        <v>44.776119402985074</v>
      </c>
      <c r="E24" s="215">
        <f>SUM(P__!W49)</f>
        <v>97.628458498023718</v>
      </c>
      <c r="F24" s="215">
        <f>SUMIF(P__!X49,"&gt;1",(P__!X49))</f>
        <v>94.85294117647058</v>
      </c>
      <c r="G24" s="215">
        <f>SUM(P__!Y49)</f>
        <v>89.65517241379311</v>
      </c>
      <c r="H24" s="215">
        <f>SUM(P__!Z49)</f>
        <v>81.818181818181827</v>
      </c>
      <c r="I24" s="215">
        <f>SUM(P__!AA49)</f>
        <v>91.304347826086953</v>
      </c>
      <c r="J24" s="219" t="s">
        <v>144</v>
      </c>
      <c r="K24" s="19">
        <f>RANK(D24,$D$4:$D$25,1)+COUNTIF($D$4:D24,D24)-1</f>
        <v>7</v>
      </c>
      <c r="L24" s="7" t="str">
        <f>INDEX(B4:I25,MATCH(21,K4:K25,0),1)</f>
        <v>Kolbuszowa</v>
      </c>
      <c r="M24" s="6">
        <f>INDEX(B4:I25,MATCH(21,K4:K25,0),3)</f>
        <v>82.857142857142861</v>
      </c>
    </row>
    <row r="25" spans="1:13" x14ac:dyDescent="0.25">
      <c r="A25" s="16">
        <v>22</v>
      </c>
      <c r="B25" s="18" t="s">
        <v>100</v>
      </c>
      <c r="C25" s="6">
        <f>SUM(P__!U50)</f>
        <v>85.071629401526309</v>
      </c>
      <c r="D25" s="369">
        <f>SUM(P__!V50)</f>
        <v>52.031978680879412</v>
      </c>
      <c r="E25" s="6">
        <f>SUM(P__!W50)</f>
        <v>93.357320786050366</v>
      </c>
      <c r="F25" s="6">
        <f>SUMIF(P__!X50,"&gt;1",(P__!X50))</f>
        <v>94.23585404547859</v>
      </c>
      <c r="G25" s="6">
        <f>SUM(P__!Y50)</f>
        <v>95.395869191049911</v>
      </c>
      <c r="H25" s="6">
        <f>SUM(P__!Z50)</f>
        <v>90.28831562974203</v>
      </c>
      <c r="I25" s="6">
        <f>SUM(P__!AA50)</f>
        <v>91.208791208791212</v>
      </c>
      <c r="J25" s="7">
        <v>1800</v>
      </c>
      <c r="K25" s="19">
        <f>RANK(D25,$D$4:$D$25,1)+COUNTIF($D$4:D25,D25)-1</f>
        <v>10</v>
      </c>
      <c r="L25" s="7" t="str">
        <f>INDEX(B4:I25,MATCH(22,K4:K25,0),1)</f>
        <v>Lesko</v>
      </c>
      <c r="M25" s="6">
        <f>INDEX(B4:I25,MATCH(22,K4:K25,0),3)</f>
        <v>90</v>
      </c>
    </row>
    <row r="26" spans="1:13" x14ac:dyDescent="0.25">
      <c r="B26" s="10"/>
      <c r="C26" s="10">
        <v>1</v>
      </c>
      <c r="D26" s="10">
        <v>2</v>
      </c>
      <c r="E26" s="10">
        <v>3</v>
      </c>
      <c r="F26" s="10">
        <v>4</v>
      </c>
      <c r="G26" s="10">
        <v>5</v>
      </c>
      <c r="H26" s="10">
        <v>6</v>
      </c>
      <c r="I26" s="10">
        <v>7</v>
      </c>
    </row>
    <row r="27" spans="1:13" x14ac:dyDescent="0.25">
      <c r="A27" s="16">
        <v>1</v>
      </c>
      <c r="B27" s="17" t="s">
        <v>1</v>
      </c>
      <c r="C27" s="15" t="s">
        <v>152</v>
      </c>
    </row>
    <row r="28" spans="1:13" x14ac:dyDescent="0.25">
      <c r="A28" s="348">
        <v>2</v>
      </c>
      <c r="B28" s="368" t="s">
        <v>2</v>
      </c>
      <c r="C28" s="15" t="s">
        <v>152</v>
      </c>
      <c r="D28" s="30"/>
      <c r="E28" s="30"/>
      <c r="F28" s="30"/>
      <c r="G28" s="30"/>
      <c r="H28" s="30"/>
      <c r="I28" s="30"/>
      <c r="J28" s="30"/>
      <c r="K28" s="15"/>
    </row>
    <row r="29" spans="1:13" x14ac:dyDescent="0.25">
      <c r="A29" s="16">
        <v>3</v>
      </c>
      <c r="B29" s="17" t="s">
        <v>3</v>
      </c>
      <c r="C29" s="15" t="s">
        <v>152</v>
      </c>
    </row>
    <row r="30" spans="1:13" x14ac:dyDescent="0.25">
      <c r="A30" s="16">
        <v>4</v>
      </c>
      <c r="B30" s="17" t="s">
        <v>4</v>
      </c>
      <c r="C30" s="15" t="s">
        <v>152</v>
      </c>
    </row>
    <row r="31" spans="1:13" x14ac:dyDescent="0.25">
      <c r="A31" s="16">
        <v>5</v>
      </c>
      <c r="B31" s="17" t="s">
        <v>16</v>
      </c>
      <c r="C31" s="15" t="s">
        <v>152</v>
      </c>
    </row>
    <row r="32" spans="1:13" x14ac:dyDescent="0.25">
      <c r="A32" s="16">
        <v>6</v>
      </c>
      <c r="B32" s="17" t="s">
        <v>17</v>
      </c>
      <c r="C32" s="15" t="s">
        <v>152</v>
      </c>
    </row>
    <row r="33" spans="1:3" x14ac:dyDescent="0.25">
      <c r="A33" s="16">
        <v>7</v>
      </c>
      <c r="B33" s="17" t="s">
        <v>11</v>
      </c>
      <c r="C33" s="15" t="s">
        <v>152</v>
      </c>
    </row>
  </sheetData>
  <sortState xmlns:xlrd2="http://schemas.microsoft.com/office/spreadsheetml/2017/richdata2" ref="A4:H25">
    <sortCondition ref="D4:D25"/>
  </sortState>
  <pageMargins left="0.7" right="0.7" top="0.75" bottom="0.75" header="0.3" footer="0.3"/>
  <pageSetup paperSize="9" scale="54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13">
    <tabColor rgb="FFFF9900"/>
    <pageSetUpPr fitToPage="1"/>
  </sheetPr>
  <dimension ref="A1:M33"/>
  <sheetViews>
    <sheetView zoomScale="90" zoomScaleNormal="90" workbookViewId="0"/>
  </sheetViews>
  <sheetFormatPr defaultRowHeight="15" x14ac:dyDescent="0.25"/>
  <cols>
    <col min="1" max="1" width="5.140625" style="15" customWidth="1"/>
    <col min="2" max="2" width="13.42578125" style="15" customWidth="1"/>
    <col min="3" max="3" width="8.28515625" style="15" customWidth="1"/>
    <col min="4" max="4" width="9.140625" style="15"/>
    <col min="5" max="5" width="11" style="15" customWidth="1"/>
    <col min="6" max="6" width="10.5703125" style="15" customWidth="1"/>
    <col min="7" max="7" width="10" style="15" customWidth="1"/>
    <col min="8" max="9" width="11.28515625" style="15" customWidth="1"/>
    <col min="10" max="10" width="11.5703125" style="10" customWidth="1"/>
    <col min="11" max="11" width="7.85546875" style="10" customWidth="1"/>
    <col min="12" max="12" width="14.42578125" style="10" customWidth="1"/>
    <col min="13" max="13" width="11.5703125" style="15" customWidth="1"/>
    <col min="14" max="16384" width="9.140625" style="15"/>
  </cols>
  <sheetData>
    <row r="1" spans="1:13" x14ac:dyDescent="0.25">
      <c r="A1" s="15" t="s">
        <v>155</v>
      </c>
    </row>
    <row r="2" spans="1:13" x14ac:dyDescent="0.25">
      <c r="A2" s="15" t="s">
        <v>325</v>
      </c>
    </row>
    <row r="3" spans="1:13" x14ac:dyDescent="0.25">
      <c r="A3" s="348">
        <f>SUM(P__!K26)</f>
        <v>2021</v>
      </c>
      <c r="B3" s="368" t="s">
        <v>101</v>
      </c>
      <c r="C3" s="348" t="s">
        <v>136</v>
      </c>
      <c r="D3" s="348" t="s">
        <v>135</v>
      </c>
      <c r="E3" s="348" t="s">
        <v>149</v>
      </c>
      <c r="F3" s="348" t="s">
        <v>139</v>
      </c>
      <c r="G3" s="348" t="s">
        <v>150</v>
      </c>
      <c r="H3" s="348" t="s">
        <v>148</v>
      </c>
      <c r="I3" s="348" t="s">
        <v>299</v>
      </c>
      <c r="J3" s="348"/>
      <c r="K3" s="348" t="s">
        <v>71</v>
      </c>
      <c r="L3" s="348" t="s">
        <v>151</v>
      </c>
      <c r="M3" s="371" t="s">
        <v>147</v>
      </c>
    </row>
    <row r="4" spans="1:13" x14ac:dyDescent="0.25">
      <c r="A4" s="16">
        <v>1</v>
      </c>
      <c r="B4" s="7" t="s">
        <v>73</v>
      </c>
      <c r="C4" s="6">
        <f>SUM(P__!U27)</f>
        <v>85.714285714285708</v>
      </c>
      <c r="D4" s="6">
        <f>SUM(P__!V27)</f>
        <v>40</v>
      </c>
      <c r="E4" s="369">
        <f>SUM(P__!W27)</f>
        <v>97.087378640776706</v>
      </c>
      <c r="F4" s="6">
        <f>SUMIF(P__!X27,"&gt;1",(P__!X27))</f>
        <v>100</v>
      </c>
      <c r="G4" s="6">
        <f>SUMIF(P__!Y27,"&gt;1",(P__!Y27))</f>
        <v>94.827586206896555</v>
      </c>
      <c r="H4" s="6">
        <f>SUMIF(P__!Z27,"&gt;1",(P__!Z27))</f>
        <v>87.5</v>
      </c>
      <c r="I4" s="6">
        <f>SUMIF(P__!AA27,"&gt;1",(P__!AA27))</f>
        <v>87.179487179487182</v>
      </c>
      <c r="J4" s="7">
        <v>1801</v>
      </c>
      <c r="K4" s="19">
        <f>RANK(E4,$E$4:$E$25,1)+COUNTIF($E$4:E4,E4)-1</f>
        <v>15</v>
      </c>
      <c r="L4" s="7" t="str">
        <f>INDEX(B4:I25,MATCH(1,K4:K25,0),1)</f>
        <v>Ropczyce</v>
      </c>
      <c r="M4" s="6">
        <f>INDEX(B4:I25,MATCH(1,K4:K25,0),4)</f>
        <v>81.818181818181827</v>
      </c>
    </row>
    <row r="5" spans="1:13" x14ac:dyDescent="0.25">
      <c r="A5" s="16">
        <v>2</v>
      </c>
      <c r="B5" s="7" t="s">
        <v>74</v>
      </c>
      <c r="C5" s="6">
        <f>SUM(P__!U28)</f>
        <v>85.618729096989966</v>
      </c>
      <c r="D5" s="6">
        <f>SUM(P__!V28)</f>
        <v>59.259259259259252</v>
      </c>
      <c r="E5" s="369">
        <f>SUM(P__!W28)</f>
        <v>96.428571428571431</v>
      </c>
      <c r="F5" s="6">
        <f>SUMIF(P__!X28,"&gt;1",(P__!X28))</f>
        <v>95.161290322580655</v>
      </c>
      <c r="G5" s="6">
        <f>SUM(P__!Y28)</f>
        <v>99.090909090909093</v>
      </c>
      <c r="H5" s="6">
        <f>SUM(P__!Z28)</f>
        <v>100</v>
      </c>
      <c r="I5" s="6">
        <f>SUM(P__!AA28)</f>
        <v>92.10526315789474</v>
      </c>
      <c r="J5" s="7">
        <v>1802</v>
      </c>
      <c r="K5" s="19">
        <f>RANK(E5,$E$4:$E$25,1)+COUNTIF($E$4:E5,E5)-1</f>
        <v>12</v>
      </c>
      <c r="L5" s="18" t="str">
        <f>INDEX(B4:I25,MATCH(2,K4:K25,0),1)</f>
        <v>Mielec</v>
      </c>
      <c r="M5" s="6">
        <f>INDEX(B4:I25,MATCH(2,K4:K25,0),4)</f>
        <v>84.063745019920319</v>
      </c>
    </row>
    <row r="6" spans="1:13" x14ac:dyDescent="0.25">
      <c r="A6" s="16">
        <v>3</v>
      </c>
      <c r="B6" s="7" t="s">
        <v>75</v>
      </c>
      <c r="C6" s="6">
        <f>SUM(P__!U29)</f>
        <v>78.968253968253961</v>
      </c>
      <c r="D6" s="6">
        <f>SUM(P__!V29)</f>
        <v>52.631578947368418</v>
      </c>
      <c r="E6" s="369">
        <f>SUM(P__!W29)</f>
        <v>98.75</v>
      </c>
      <c r="F6" s="6">
        <f>SUMIF(P__!X29,"&gt;1",(P__!X29))</f>
        <v>75</v>
      </c>
      <c r="G6" s="6">
        <f>SUM(P__!Y29)</f>
        <v>100</v>
      </c>
      <c r="H6" s="6">
        <f>SUM(P__!Z29)</f>
        <v>97.183098591549296</v>
      </c>
      <c r="I6" s="6">
        <f>SUM(P__!AA29)</f>
        <v>91.428571428571431</v>
      </c>
      <c r="J6" s="7">
        <v>1803</v>
      </c>
      <c r="K6" s="19">
        <f>RANK(E6,$E$4:$E$25,1)+COUNTIF($E$4:E6,E6)-1</f>
        <v>20</v>
      </c>
      <c r="L6" s="18" t="str">
        <f>INDEX(B4:I25,MATCH(3,K4:K25,0),1)</f>
        <v>Nisko</v>
      </c>
      <c r="M6" s="6">
        <f>INDEX(B4:I25,MATCH(3,K4:K25,0),4)</f>
        <v>86.797752808988761</v>
      </c>
    </row>
    <row r="7" spans="1:13" x14ac:dyDescent="0.25">
      <c r="A7" s="16">
        <v>4</v>
      </c>
      <c r="B7" s="7" t="s">
        <v>76</v>
      </c>
      <c r="C7" s="6">
        <f>SUM(P__!U30)</f>
        <v>86.52849740932642</v>
      </c>
      <c r="D7" s="6">
        <f>SUM(P__!V30)</f>
        <v>66.666666666666657</v>
      </c>
      <c r="E7" s="369">
        <f>SUM(P__!W30)</f>
        <v>97.407407407407405</v>
      </c>
      <c r="F7" s="6">
        <f>SUMIF(P__!X30,"&gt;1",(P__!X30))</f>
        <v>99.625468164794</v>
      </c>
      <c r="G7" s="6">
        <f>SUM(P__!Y30)</f>
        <v>100</v>
      </c>
      <c r="H7" s="6">
        <f>SUM(P__!Z30)</f>
        <v>99.107142857142861</v>
      </c>
      <c r="I7" s="6">
        <f>SUM(P__!AA30)</f>
        <v>80.701754385964904</v>
      </c>
      <c r="J7" s="7">
        <v>1804</v>
      </c>
      <c r="K7" s="19">
        <f>RANK(E7,$E$4:$E$25,1)+COUNTIF($E$4:E7,E7)-1</f>
        <v>16</v>
      </c>
      <c r="L7" s="18" t="str">
        <f>INDEX(B4:I25,MATCH(4,K4:K25,0),1)</f>
        <v>Przeworsk</v>
      </c>
      <c r="M7" s="6">
        <f>INDEX(B4:I25,MATCH(4,K4:K25,0),4)</f>
        <v>89.562289562289564</v>
      </c>
    </row>
    <row r="8" spans="1:13" x14ac:dyDescent="0.25">
      <c r="A8" s="16">
        <v>5</v>
      </c>
      <c r="B8" s="7" t="s">
        <v>77</v>
      </c>
      <c r="C8" s="6">
        <f>SUM(P__!U31)</f>
        <v>91.520467836257311</v>
      </c>
      <c r="D8" s="6">
        <f>SUM(P__!V31)</f>
        <v>34.782608695652172</v>
      </c>
      <c r="E8" s="369">
        <f>SUM(P__!W31)</f>
        <v>93.589743589743591</v>
      </c>
      <c r="F8" s="6">
        <f>SUMIF(P__!X31,"&gt;1",(P__!X31))</f>
        <v>100</v>
      </c>
      <c r="G8" s="6">
        <f>SUM(P__!Y31)</f>
        <v>97.883597883597886</v>
      </c>
      <c r="H8" s="6">
        <f>SUM(P__!Z31)</f>
        <v>84.552845528455293</v>
      </c>
      <c r="I8" s="6">
        <f>SUM(P__!AA31)</f>
        <v>93.333333333333329</v>
      </c>
      <c r="J8" s="7">
        <v>1805</v>
      </c>
      <c r="K8" s="19">
        <f>RANK(E8,$E$4:$E$25,1)+COUNTIF($E$4:E8,E8)-1</f>
        <v>8</v>
      </c>
      <c r="L8" s="18" t="str">
        <f>INDEX(B4:I25,MATCH(5,K4:K25,0),1)</f>
        <v>Rzeszów</v>
      </c>
      <c r="M8" s="6">
        <f>INDEX(B4:I25,MATCH(5,K4:K25,0),4)</f>
        <v>90.099009900990097</v>
      </c>
    </row>
    <row r="9" spans="1:13" x14ac:dyDescent="0.25">
      <c r="A9" s="16">
        <v>6</v>
      </c>
      <c r="B9" s="7" t="s">
        <v>78</v>
      </c>
      <c r="C9" s="6">
        <f>SUM(P__!U32)</f>
        <v>88.81578947368422</v>
      </c>
      <c r="D9" s="6">
        <f>SUM(P__!V32)</f>
        <v>82.857142857142861</v>
      </c>
      <c r="E9" s="369">
        <f>SUM(P__!W32)</f>
        <v>98.260869565217391</v>
      </c>
      <c r="F9" s="6">
        <f>SUMIF(P__!X32,"&gt;1",(P__!X32))</f>
        <v>100</v>
      </c>
      <c r="G9" s="6">
        <f>SUM(P__!Y32)</f>
        <v>98.387096774193552</v>
      </c>
      <c r="H9" s="6">
        <f>SUM(P__!Z32)</f>
        <v>95.348837209302332</v>
      </c>
      <c r="I9" s="6">
        <f>SUM(P__!AA32)</f>
        <v>100</v>
      </c>
      <c r="J9" s="7">
        <v>1806</v>
      </c>
      <c r="K9" s="19">
        <f>RANK(E9,$E$4:$E$25,1)+COUNTIF($E$4:E9,E9)-1</f>
        <v>19</v>
      </c>
      <c r="L9" s="18" t="str">
        <f>INDEX(B4:I25,MATCH(6,K4:K25,0),1)</f>
        <v>Leżajsk</v>
      </c>
      <c r="M9" s="6">
        <f>INDEX(B4:I25,MATCH(6,K4:K25,0),4)</f>
        <v>93.181818181818173</v>
      </c>
    </row>
    <row r="10" spans="1:13" x14ac:dyDescent="0.25">
      <c r="A10" s="218">
        <v>7</v>
      </c>
      <c r="B10" s="219" t="s">
        <v>79</v>
      </c>
      <c r="C10" s="215">
        <f>SUM(P__!U33)</f>
        <v>82.916666666666671</v>
      </c>
      <c r="D10" s="215">
        <f>SUM(P__!V33)</f>
        <v>45.283018867924532</v>
      </c>
      <c r="E10" s="370">
        <f>SUM(P__!W33)</f>
        <v>96.428571428571431</v>
      </c>
      <c r="F10" s="215">
        <f>SUMIF(P__!X33,"&gt;1",(P__!X33))</f>
        <v>96.428571428571431</v>
      </c>
      <c r="G10" s="215">
        <f>SUM(P__!Y33)</f>
        <v>98.165137614678898</v>
      </c>
      <c r="H10" s="215">
        <f>SUM(P__!Z33)</f>
        <v>88.059701492537314</v>
      </c>
      <c r="I10" s="215">
        <f>SUM(P__!AA33)</f>
        <v>97.5</v>
      </c>
      <c r="J10" s="219" t="s">
        <v>143</v>
      </c>
      <c r="K10" s="19">
        <f>RANK(E10,$E$4:$E$25,1)+COUNTIF($E$4:E10,E10)-1</f>
        <v>13</v>
      </c>
      <c r="L10" s="220" t="str">
        <f>INDEX(B4:I25,MATCH(7,K4:K25,0),1)</f>
        <v>Podkarpacie</v>
      </c>
      <c r="M10" s="216">
        <f>INDEX(B4:I25,MATCH(7,K4:K25,0),4)</f>
        <v>93.357320786050366</v>
      </c>
    </row>
    <row r="11" spans="1:13" x14ac:dyDescent="0.25">
      <c r="A11" s="16">
        <v>8</v>
      </c>
      <c r="B11" s="7" t="s">
        <v>80</v>
      </c>
      <c r="C11" s="6">
        <f>SUM(P__!U35)</f>
        <v>91.017964071856284</v>
      </c>
      <c r="D11" s="6">
        <f>SUM(P__!V35)</f>
        <v>39.784946236559136</v>
      </c>
      <c r="E11" s="369">
        <f>SUM(P__!W35)</f>
        <v>93.181818181818173</v>
      </c>
      <c r="F11" s="6">
        <f>SUMIF(P__!X35,"&gt;1",(P__!X35))</f>
        <v>94.73684210526315</v>
      </c>
      <c r="G11" s="6">
        <f>SUM(P__!Y35)</f>
        <v>95.689655172413794</v>
      </c>
      <c r="H11" s="6">
        <f>SUM(P__!Z35)</f>
        <v>80</v>
      </c>
      <c r="I11" s="6">
        <f>SUM(P__!AA35)</f>
        <v>97.142857142857139</v>
      </c>
      <c r="J11" s="7">
        <v>1808</v>
      </c>
      <c r="K11" s="19">
        <f>RANK(E11,$E$4:$E$25,1)+COUNTIF($E$4:E11,E11)-1</f>
        <v>6</v>
      </c>
      <c r="L11" s="18" t="str">
        <f>INDEX(B4:I25,MATCH(8,K4:K25,0),1)</f>
        <v>Jasło</v>
      </c>
      <c r="M11" s="6">
        <f>INDEX(B4:I25,MATCH(8,K4:K25,0),4)</f>
        <v>93.589743589743591</v>
      </c>
    </row>
    <row r="12" spans="1:13" x14ac:dyDescent="0.25">
      <c r="A12" s="16">
        <v>9</v>
      </c>
      <c r="B12" s="7" t="s">
        <v>81</v>
      </c>
      <c r="C12" s="6">
        <f>SUM(P__!U36)</f>
        <v>86.075949367088612</v>
      </c>
      <c r="D12" s="6">
        <f>SUM(P__!V36)</f>
        <v>50</v>
      </c>
      <c r="E12" s="369">
        <f>SUM(P__!W36)</f>
        <v>98.101265822784811</v>
      </c>
      <c r="F12" s="6">
        <f>SUMIF(P__!X36,"&gt;1",(P__!X36))</f>
        <v>100</v>
      </c>
      <c r="G12" s="6">
        <f>SUM(P__!Y36)</f>
        <v>84.05797101449275</v>
      </c>
      <c r="H12" s="431">
        <f>SUMIF(P__!Z36,"&gt;1",(P__!Z36))</f>
        <v>0</v>
      </c>
      <c r="I12" s="6">
        <f>SUM(P__!AA36)</f>
        <v>89.583333333333343</v>
      </c>
      <c r="J12" s="7">
        <v>1809</v>
      </c>
      <c r="K12" s="19">
        <f>RANK(E12,$E$4:$E$25,1)+COUNTIF($E$4:E12,E12)-1</f>
        <v>18</v>
      </c>
      <c r="L12" s="154" t="str">
        <f>INDEX(B4:I25,MATCH(9,K4:K25,0),1)</f>
        <v>Sanok</v>
      </c>
      <c r="M12" s="22">
        <f>INDEX(B4:I25,MATCH(9,K4:K25,0),4)</f>
        <v>93.75</v>
      </c>
    </row>
    <row r="13" spans="1:13" x14ac:dyDescent="0.25">
      <c r="A13" s="16">
        <v>10</v>
      </c>
      <c r="B13" s="7" t="s">
        <v>82</v>
      </c>
      <c r="C13" s="6">
        <f>SUM(P__!U37)</f>
        <v>86.5625</v>
      </c>
      <c r="D13" s="6">
        <f>SUM(P__!V37)</f>
        <v>24.731182795698924</v>
      </c>
      <c r="E13" s="369">
        <f>SUM(P__!W37)</f>
        <v>99.350649350649363</v>
      </c>
      <c r="F13" s="6">
        <f>SUMIF(P__!X37,"&gt;1",(P__!X37))</f>
        <v>97.61904761904762</v>
      </c>
      <c r="G13" s="6">
        <f>SUM(P__!Y37)</f>
        <v>100</v>
      </c>
      <c r="H13" s="6">
        <f>SUM(P__!Z37)</f>
        <v>100</v>
      </c>
      <c r="I13" s="6">
        <f>SUM(P__!AA37)</f>
        <v>95.918367346938766</v>
      </c>
      <c r="J13" s="7">
        <v>1810</v>
      </c>
      <c r="K13" s="19">
        <f>RANK(E13,$E$4:$E$25,1)+COUNTIF($E$4:E13,E13)-1</f>
        <v>22</v>
      </c>
      <c r="L13" s="18" t="str">
        <f>INDEX(B4:I25,MATCH(10,K4:K25,0),1)</f>
        <v>Lesko</v>
      </c>
      <c r="M13" s="6">
        <f>INDEX(B4:I25,MATCH(10,K4:K25,0),4)</f>
        <v>94.594594594594597</v>
      </c>
    </row>
    <row r="14" spans="1:13" x14ac:dyDescent="0.25">
      <c r="A14" s="16">
        <v>11</v>
      </c>
      <c r="B14" s="7" t="s">
        <v>83</v>
      </c>
      <c r="C14" s="6">
        <f>SUM(P__!U38)</f>
        <v>87.341772151898738</v>
      </c>
      <c r="D14" s="6">
        <f>SUM(P__!V38)</f>
        <v>69.230769230769226</v>
      </c>
      <c r="E14" s="369">
        <f>SUM(P__!W38)</f>
        <v>84.063745019920319</v>
      </c>
      <c r="F14" s="6">
        <f>SUMIF(P__!X38,"&gt;1",(P__!X38))</f>
        <v>98.461538461538467</v>
      </c>
      <c r="G14" s="6">
        <f>SUM(P__!Y38)</f>
        <v>98.165137614678898</v>
      </c>
      <c r="H14" s="6">
        <f>SUM(P__!Z38)</f>
        <v>86.666666666666671</v>
      </c>
      <c r="I14" s="6">
        <f>SUM(P__!AA38)</f>
        <v>100</v>
      </c>
      <c r="J14" s="7">
        <v>1811</v>
      </c>
      <c r="K14" s="19">
        <f>RANK(E14,$E$4:$E$25,1)+COUNTIF($E$4:E14,E14)-1</f>
        <v>2</v>
      </c>
      <c r="L14" s="18" t="str">
        <f>INDEX(B4:I25,MATCH(11,K4:K25,0),1)</f>
        <v>Tarnobrzeg</v>
      </c>
      <c r="M14" s="6">
        <f>INDEX(B4:I25,MATCH(11,K4:K25,0),4)</f>
        <v>96.385542168674704</v>
      </c>
    </row>
    <row r="15" spans="1:13" x14ac:dyDescent="0.25">
      <c r="A15" s="16">
        <v>12</v>
      </c>
      <c r="B15" s="7" t="s">
        <v>84</v>
      </c>
      <c r="C15" s="6">
        <f>SUM(P__!U39)</f>
        <v>75.786924939467312</v>
      </c>
      <c r="D15" s="6">
        <f>SUM(P__!V39)</f>
        <v>37.681159420289859</v>
      </c>
      <c r="E15" s="369">
        <f>SUM(P__!W39)</f>
        <v>86.797752808988761</v>
      </c>
      <c r="F15" s="6">
        <f>SUMIF(P__!X39,"&gt;1",(P__!X39))</f>
        <v>72.222222222222214</v>
      </c>
      <c r="G15" s="6">
        <f>SUM(P__!Y39)</f>
        <v>92.20779220779221</v>
      </c>
      <c r="H15" s="6">
        <f>SUM(P__!Z39)</f>
        <v>81.395348837209298</v>
      </c>
      <c r="I15" s="6">
        <f>SUM(P__!AA39)</f>
        <v>88.235294117647058</v>
      </c>
      <c r="J15" s="7">
        <v>1812</v>
      </c>
      <c r="K15" s="19">
        <f>RANK(E15,$E$4:$E$25,1)+COUNTIF($E$4:E15,E15)-1</f>
        <v>3</v>
      </c>
      <c r="L15" s="18" t="str">
        <f>INDEX(B4:I25,MATCH(12,K4:K25,0),1)</f>
        <v>Brzozów</v>
      </c>
      <c r="M15" s="6">
        <f>INDEX(B4:I25,MATCH(12,K4:K25,0),4)</f>
        <v>96.428571428571431</v>
      </c>
    </row>
    <row r="16" spans="1:13" x14ac:dyDescent="0.25">
      <c r="A16" s="16">
        <v>13</v>
      </c>
      <c r="B16" s="7" t="s">
        <v>85</v>
      </c>
      <c r="C16" s="6">
        <f>SUM(P__!U40)</f>
        <v>78.01418439716312</v>
      </c>
      <c r="D16" s="6">
        <f>SUM(P__!V40)</f>
        <v>56.862745098039213</v>
      </c>
      <c r="E16" s="369">
        <f>SUM(P__!W40)</f>
        <v>89.562289562289564</v>
      </c>
      <c r="F16" s="6">
        <f>SUMIF(P__!X40,"&gt;1",(P__!X40))</f>
        <v>88.535031847133766</v>
      </c>
      <c r="G16" s="6">
        <f>SUM(P__!Y40)</f>
        <v>91.025641025641022</v>
      </c>
      <c r="H16" s="6">
        <f>SUM(P__!Z40)</f>
        <v>76.785714285714292</v>
      </c>
      <c r="I16" s="6">
        <f>SUM(P__!AA40)</f>
        <v>82.142857142857139</v>
      </c>
      <c r="J16" s="7">
        <v>1814</v>
      </c>
      <c r="K16" s="156">
        <f>RANK(E16,$E$4:$E$25,1)+COUNTIF($E$4:E16,E16)-1</f>
        <v>4</v>
      </c>
      <c r="L16" s="155" t="str">
        <f>INDEX(B4:I25,MATCH(13,K4:K25,0),1)</f>
        <v>Krosno</v>
      </c>
      <c r="M16" s="22">
        <f>INDEX(B4:I25,MATCH(13,K4:K25,0),4)</f>
        <v>96.428571428571431</v>
      </c>
    </row>
    <row r="17" spans="1:13" x14ac:dyDescent="0.25">
      <c r="A17" s="16">
        <v>14</v>
      </c>
      <c r="B17" s="7" t="s">
        <v>86</v>
      </c>
      <c r="C17" s="6">
        <f>SUM(P__!U41)</f>
        <v>80.392156862745097</v>
      </c>
      <c r="D17" s="6">
        <f>SUM(P__!V41)</f>
        <v>77.272727272727266</v>
      </c>
      <c r="E17" s="369">
        <f>SUM(P__!W41)</f>
        <v>81.818181818181827</v>
      </c>
      <c r="F17" s="6">
        <f>SUMIF(P__!X41,"&gt;1",(P__!X41))</f>
        <v>92.957746478873233</v>
      </c>
      <c r="G17" s="6">
        <f>SUM(P__!Y41)</f>
        <v>92.125984251968504</v>
      </c>
      <c r="H17" s="6">
        <f>SUM(P__!Z41)</f>
        <v>82.022471910112358</v>
      </c>
      <c r="I17" s="6">
        <f>SUM(P__!AA41)</f>
        <v>85.714285714285708</v>
      </c>
      <c r="J17" s="7">
        <v>1815</v>
      </c>
      <c r="K17" s="20">
        <f>RANK(E17,$E$4:$E$25,1)+COUNTIF($E$4:E17,E17)-1</f>
        <v>1</v>
      </c>
      <c r="L17" s="21" t="str">
        <f>INDEX(B4:I25,MATCH(14,K4:K25,0),1)</f>
        <v>Strzyżów</v>
      </c>
      <c r="M17" s="6">
        <f>INDEX(B4:I25,MATCH(14,K4:K25,0),4)</f>
        <v>96.491228070175438</v>
      </c>
    </row>
    <row r="18" spans="1:13" x14ac:dyDescent="0.25">
      <c r="A18" s="218">
        <v>15</v>
      </c>
      <c r="B18" s="219" t="s">
        <v>87</v>
      </c>
      <c r="C18" s="215">
        <f>SUM(P__!U43)</f>
        <v>83.909574468085097</v>
      </c>
      <c r="D18" s="215">
        <f>SUM(P__!V43)</f>
        <v>55.313351498637594</v>
      </c>
      <c r="E18" s="370">
        <f>SUM(P__!W43)</f>
        <v>90.099009900990097</v>
      </c>
      <c r="F18" s="215">
        <f>SUMIF(P__!X43,"&gt;1",(P__!X43))</f>
        <v>82.051282051282044</v>
      </c>
      <c r="G18" s="215">
        <f>SUM(P__!Y43)</f>
        <v>97.206703910614522</v>
      </c>
      <c r="H18" s="215">
        <f>SUM(P__!Z43)</f>
        <v>91.803278688524586</v>
      </c>
      <c r="I18" s="215">
        <f>SUM(P__!AA43)</f>
        <v>91.428571428571431</v>
      </c>
      <c r="J18" s="219" t="s">
        <v>145</v>
      </c>
      <c r="K18" s="19">
        <f>RANK(E18,$E$4:$E$25,1)+COUNTIF($E$4:E18,E18)-1</f>
        <v>5</v>
      </c>
      <c r="L18" s="7" t="str">
        <f>INDEX(B4:I25,MATCH(15,K4:K25,0),1)</f>
        <v>Ustrzyki Dolne</v>
      </c>
      <c r="M18" s="6">
        <f>INDEX(B4:I25,MATCH(15,K4:K25,0),4)</f>
        <v>97.087378640776706</v>
      </c>
    </row>
    <row r="19" spans="1:13" x14ac:dyDescent="0.25">
      <c r="A19" s="16">
        <v>16</v>
      </c>
      <c r="B19" s="7" t="s">
        <v>88</v>
      </c>
      <c r="C19" s="6">
        <f>SUM(P__!U44)</f>
        <v>85.561497326203209</v>
      </c>
      <c r="D19" s="6">
        <f>SUM(P__!V44)</f>
        <v>55.833333333333336</v>
      </c>
      <c r="E19" s="369">
        <f>SUM(P__!W44)</f>
        <v>93.75</v>
      </c>
      <c r="F19" s="6">
        <f>SUMIF(P__!X44,"&gt;1",(P__!X44))</f>
        <v>100</v>
      </c>
      <c r="G19" s="6">
        <f>SUM(P__!Y44)</f>
        <v>100</v>
      </c>
      <c r="H19" s="6">
        <f>SUM(P__!Z44)</f>
        <v>94.230769230769226</v>
      </c>
      <c r="I19" s="6">
        <f>SUM(P__!AA44)</f>
        <v>93.103448275862064</v>
      </c>
      <c r="J19" s="7">
        <v>1817</v>
      </c>
      <c r="K19" s="19">
        <f>RANK(E19,$E$4:$E$25,1)+COUNTIF($E$4:E19,E19)-1</f>
        <v>9</v>
      </c>
      <c r="L19" s="7" t="str">
        <f>INDEX(B4:I25,MATCH(16,K4:K25,0),1)</f>
        <v>Jarosław</v>
      </c>
      <c r="M19" s="6">
        <f>INDEX(B4:I25,MATCH(16,K4:K25,0),4)</f>
        <v>97.407407407407405</v>
      </c>
    </row>
    <row r="20" spans="1:13" x14ac:dyDescent="0.25">
      <c r="A20" s="16">
        <v>17</v>
      </c>
      <c r="B20" s="7" t="s">
        <v>89</v>
      </c>
      <c r="C20" s="6">
        <f>SUM(P__!U45)</f>
        <v>82.392026578073086</v>
      </c>
      <c r="D20" s="6">
        <f>SUM(P__!V45)</f>
        <v>68.387096774193552</v>
      </c>
      <c r="E20" s="369">
        <f>SUM(P__!W45)</f>
        <v>99.236641221374043</v>
      </c>
      <c r="F20" s="6">
        <f>SUMIF(P__!X45,"&gt;1",(P__!X45))</f>
        <v>92.592592592592595</v>
      </c>
      <c r="G20" s="6">
        <f>SUM(P__!Y45)</f>
        <v>88.659793814432987</v>
      </c>
      <c r="H20" s="6">
        <f>SUM(P__!Z45)</f>
        <v>96.296296296296291</v>
      </c>
      <c r="I20" s="6">
        <f>SUM(P__!AA45)</f>
        <v>94.444444444444443</v>
      </c>
      <c r="J20" s="7">
        <v>1818</v>
      </c>
      <c r="K20" s="19">
        <f>RANK(E20,$E$4:$E$25,1)+COUNTIF($E$4:E20,E20)-1</f>
        <v>21</v>
      </c>
      <c r="L20" s="7" t="str">
        <f>INDEX(B4:I25,MATCH(17,K4:K25,0),1)</f>
        <v>Przemyśl</v>
      </c>
      <c r="M20" s="6">
        <f>INDEX(B4:I25,MATCH(17,K4:K25,0),4)</f>
        <v>97.628458498023718</v>
      </c>
    </row>
    <row r="21" spans="1:13" x14ac:dyDescent="0.25">
      <c r="A21" s="16">
        <v>18</v>
      </c>
      <c r="B21" s="7" t="s">
        <v>90</v>
      </c>
      <c r="C21" s="6">
        <f>SUM(P__!U46)</f>
        <v>88.103448275862078</v>
      </c>
      <c r="D21" s="6">
        <f>SUM(P__!V46)</f>
        <v>57.692307692307686</v>
      </c>
      <c r="E21" s="369">
        <f>SUM(P__!W46)</f>
        <v>96.491228070175438</v>
      </c>
      <c r="F21" s="6">
        <f>SUMIF(P__!X46,"&gt;1",(P__!X46))</f>
        <v>100</v>
      </c>
      <c r="G21" s="6">
        <f>SUM(P__!Y46)</f>
        <v>96.590909090909093</v>
      </c>
      <c r="H21" s="6">
        <f>SUM(P__!Z46)</f>
        <v>91.379310344827587</v>
      </c>
      <c r="I21" s="6">
        <f>SUM(P__!AA46)</f>
        <v>100</v>
      </c>
      <c r="J21" s="7">
        <v>1819</v>
      </c>
      <c r="K21" s="19">
        <f>RANK(E21,$E$4:$E$25,1)+COUNTIF($E$4:E21,E21)-1</f>
        <v>14</v>
      </c>
      <c r="L21" s="7" t="str">
        <f>INDEX(B4:I25,MATCH(18,K4:K25,0),1)</f>
        <v>Lubaczów</v>
      </c>
      <c r="M21" s="6">
        <f>INDEX(B4:I25,MATCH(18,K4:K25,0),4)</f>
        <v>98.101265822784811</v>
      </c>
    </row>
    <row r="22" spans="1:13" x14ac:dyDescent="0.25">
      <c r="A22" s="218">
        <v>19</v>
      </c>
      <c r="B22" s="219" t="s">
        <v>91</v>
      </c>
      <c r="C22" s="215">
        <f>SUM(P__!U47)</f>
        <v>91.21621621621621</v>
      </c>
      <c r="D22" s="215">
        <f>SUM(P__!V47)</f>
        <v>37.142857142857146</v>
      </c>
      <c r="E22" s="370">
        <f>SUM(P__!W47)</f>
        <v>96.385542168674704</v>
      </c>
      <c r="F22" s="215">
        <f>SUMIF(P__!X47,"&gt;1",(P__!X47))</f>
        <v>97.132616487455195</v>
      </c>
      <c r="G22" s="215">
        <f>SUM(P__!Y47)</f>
        <v>100</v>
      </c>
      <c r="H22" s="215">
        <f>SUM(P__!Z47)</f>
        <v>100</v>
      </c>
      <c r="I22" s="215">
        <f>SUM(P__!AA47)</f>
        <v>91.304347826086953</v>
      </c>
      <c r="J22" s="219" t="s">
        <v>146</v>
      </c>
      <c r="K22" s="19">
        <f>RANK(E22,$E$4:$E$25,1)+COUNTIF($E$4:E22,E22)-1</f>
        <v>11</v>
      </c>
      <c r="L22" s="7" t="str">
        <f>INDEX(B4:I25,MATCH(19,K4:K25,0),1)</f>
        <v>Kolbuszowa</v>
      </c>
      <c r="M22" s="6">
        <f>INDEX(B4:I25,MATCH(19,K4:K25,0),4)</f>
        <v>98.260869565217391</v>
      </c>
    </row>
    <row r="23" spans="1:13" x14ac:dyDescent="0.25">
      <c r="A23" s="16">
        <v>20</v>
      </c>
      <c r="B23" s="7" t="s">
        <v>92</v>
      </c>
      <c r="C23" s="6">
        <f>SUM(P__!U48)</f>
        <v>83.185840707964601</v>
      </c>
      <c r="D23" s="6">
        <f>SUM(P__!V48)</f>
        <v>90</v>
      </c>
      <c r="E23" s="369">
        <f>SUM(P__!W48)</f>
        <v>94.594594594594597</v>
      </c>
      <c r="F23" s="6">
        <f>SUMIF(P__!X48,"&gt;1",(P__!X48))</f>
        <v>83.333333333333343</v>
      </c>
      <c r="G23" s="6">
        <f>SUM(P__!Y48)</f>
        <v>82.857142857142861</v>
      </c>
      <c r="H23" s="6">
        <f>SUM(P__!Z48)</f>
        <v>100</v>
      </c>
      <c r="I23" s="6">
        <f>SUM(P__!AA48)</f>
        <v>89.743589743589752</v>
      </c>
      <c r="J23" s="7">
        <v>1821</v>
      </c>
      <c r="K23" s="19">
        <f>RANK(E23,$E$4:$E$25,1)+COUNTIF($E$4:E23,E23)-1</f>
        <v>10</v>
      </c>
      <c r="L23" s="7" t="str">
        <f>INDEX(B4:I25,MATCH(20,K4:K25,0),1)</f>
        <v>Dębica</v>
      </c>
      <c r="M23" s="6">
        <f>INDEX(B4:I25,MATCH(20,K4:K25,0),4)</f>
        <v>98.75</v>
      </c>
    </row>
    <row r="24" spans="1:13" x14ac:dyDescent="0.25">
      <c r="A24" s="218">
        <v>21</v>
      </c>
      <c r="B24" s="219" t="s">
        <v>97</v>
      </c>
      <c r="C24" s="215">
        <f>SUM(P__!U49)</f>
        <v>85.784313725490193</v>
      </c>
      <c r="D24" s="215">
        <f>SUM(P__!V49)</f>
        <v>44.776119402985074</v>
      </c>
      <c r="E24" s="370">
        <f>SUM(P__!W49)</f>
        <v>97.628458498023718</v>
      </c>
      <c r="F24" s="215">
        <f>SUMIF(P__!X49,"&gt;1",(P__!X49))</f>
        <v>94.85294117647058</v>
      </c>
      <c r="G24" s="215">
        <f>SUM(P__!Y49)</f>
        <v>89.65517241379311</v>
      </c>
      <c r="H24" s="215">
        <f>SUM(P__!Z49)</f>
        <v>81.818181818181827</v>
      </c>
      <c r="I24" s="215">
        <f>SUM(P__!AA49)</f>
        <v>91.304347826086953</v>
      </c>
      <c r="J24" s="219" t="s">
        <v>144</v>
      </c>
      <c r="K24" s="19">
        <f>RANK(E24,$E$4:$E$25,1)+COUNTIF($E$4:E24,E24)-1</f>
        <v>17</v>
      </c>
      <c r="L24" s="7" t="str">
        <f>INDEX(B4:I25,MATCH(21,K4:K25,0),1)</f>
        <v>Stalowa Wola</v>
      </c>
      <c r="M24" s="6">
        <f>INDEX(B4:I25,MATCH(21,K4:K25,0),4)</f>
        <v>99.236641221374043</v>
      </c>
    </row>
    <row r="25" spans="1:13" x14ac:dyDescent="0.25">
      <c r="A25" s="16">
        <v>22</v>
      </c>
      <c r="B25" s="18" t="s">
        <v>100</v>
      </c>
      <c r="C25" s="6">
        <f>SUM(P__!U50)</f>
        <v>85.071629401526309</v>
      </c>
      <c r="D25" s="6">
        <f>SUM(P__!V50)</f>
        <v>52.031978680879412</v>
      </c>
      <c r="E25" s="369">
        <f>SUM(P__!W50)</f>
        <v>93.357320786050366</v>
      </c>
      <c r="F25" s="6">
        <f>SUMIF(P__!X50,"&gt;1",(P__!X50))</f>
        <v>94.23585404547859</v>
      </c>
      <c r="G25" s="6">
        <f>SUM(P__!Y50)</f>
        <v>95.395869191049911</v>
      </c>
      <c r="H25" s="6">
        <f>SUM(P__!Z50)</f>
        <v>90.28831562974203</v>
      </c>
      <c r="I25" s="6">
        <f>SUM(P__!AA50)</f>
        <v>91.208791208791212</v>
      </c>
      <c r="J25" s="7">
        <v>1800</v>
      </c>
      <c r="K25" s="19">
        <f>RANK(E25,$E$4:$E$25,1)+COUNTIF($E$4:E25,E25)-1</f>
        <v>7</v>
      </c>
      <c r="L25" s="7" t="str">
        <f>INDEX(B4:I25,MATCH(22,K4:K25,0),1)</f>
        <v>Łańcut</v>
      </c>
      <c r="M25" s="6">
        <f>INDEX(B4:I25,MATCH(22,K4:K25,0),4)</f>
        <v>99.350649350649363</v>
      </c>
    </row>
    <row r="26" spans="1:13" x14ac:dyDescent="0.25">
      <c r="B26" s="10"/>
      <c r="C26" s="10">
        <v>1</v>
      </c>
      <c r="D26" s="10">
        <v>2</v>
      </c>
      <c r="E26" s="10">
        <v>3</v>
      </c>
      <c r="F26" s="10">
        <v>4</v>
      </c>
      <c r="G26" s="10">
        <v>5</v>
      </c>
      <c r="H26" s="10">
        <v>6</v>
      </c>
      <c r="I26" s="10">
        <v>7</v>
      </c>
    </row>
    <row r="27" spans="1:13" x14ac:dyDescent="0.25">
      <c r="A27" s="16">
        <v>1</v>
      </c>
      <c r="B27" s="17" t="s">
        <v>1</v>
      </c>
      <c r="C27" s="15" t="s">
        <v>152</v>
      </c>
    </row>
    <row r="28" spans="1:13" x14ac:dyDescent="0.25">
      <c r="A28" s="16">
        <v>2</v>
      </c>
      <c r="B28" s="17" t="s">
        <v>2</v>
      </c>
      <c r="C28" s="15" t="s">
        <v>152</v>
      </c>
      <c r="D28" s="30"/>
      <c r="E28" s="30"/>
      <c r="F28" s="30"/>
      <c r="G28" s="30"/>
      <c r="H28" s="30"/>
      <c r="I28" s="30"/>
      <c r="J28" s="30"/>
      <c r="K28" s="15"/>
    </row>
    <row r="29" spans="1:13" x14ac:dyDescent="0.25">
      <c r="A29" s="348">
        <v>3</v>
      </c>
      <c r="B29" s="368" t="s">
        <v>3</v>
      </c>
      <c r="C29" s="15" t="s">
        <v>152</v>
      </c>
    </row>
    <row r="30" spans="1:13" x14ac:dyDescent="0.25">
      <c r="A30" s="16">
        <v>4</v>
      </c>
      <c r="B30" s="17" t="s">
        <v>4</v>
      </c>
      <c r="C30" s="15" t="s">
        <v>152</v>
      </c>
    </row>
    <row r="31" spans="1:13" x14ac:dyDescent="0.25">
      <c r="A31" s="16">
        <v>5</v>
      </c>
      <c r="B31" s="17" t="s">
        <v>16</v>
      </c>
      <c r="C31" s="15" t="s">
        <v>152</v>
      </c>
    </row>
    <row r="32" spans="1:13" x14ac:dyDescent="0.25">
      <c r="A32" s="16">
        <v>6</v>
      </c>
      <c r="B32" s="17" t="s">
        <v>17</v>
      </c>
      <c r="C32" s="15" t="s">
        <v>152</v>
      </c>
    </row>
    <row r="33" spans="1:3" x14ac:dyDescent="0.25">
      <c r="A33" s="16">
        <v>7</v>
      </c>
      <c r="B33" s="17" t="s">
        <v>11</v>
      </c>
      <c r="C33" s="15" t="s">
        <v>152</v>
      </c>
    </row>
  </sheetData>
  <sortState xmlns:xlrd2="http://schemas.microsoft.com/office/spreadsheetml/2017/richdata2" ref="A4:H25">
    <sortCondition ref="E4:E25"/>
  </sortState>
  <pageMargins left="0.7" right="0.7" top="0.75" bottom="0.75" header="0.3" footer="0.3"/>
  <pageSetup paperSize="9" scale="5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4">
    <tabColor rgb="FFFF9900"/>
    <pageSetUpPr fitToPage="1"/>
  </sheetPr>
  <dimension ref="A1:M33"/>
  <sheetViews>
    <sheetView zoomScale="90" zoomScaleNormal="90" workbookViewId="0"/>
  </sheetViews>
  <sheetFormatPr defaultRowHeight="15" x14ac:dyDescent="0.25"/>
  <cols>
    <col min="1" max="1" width="5.140625" style="15" customWidth="1"/>
    <col min="2" max="2" width="13.42578125" style="15" customWidth="1"/>
    <col min="3" max="3" width="8.28515625" style="15" customWidth="1"/>
    <col min="4" max="4" width="9.140625" style="15"/>
    <col min="5" max="5" width="11" style="15" customWidth="1"/>
    <col min="6" max="6" width="10.5703125" style="15" customWidth="1"/>
    <col min="7" max="7" width="10" style="15" customWidth="1"/>
    <col min="8" max="9" width="9.85546875" style="15" customWidth="1"/>
    <col min="10" max="10" width="11.5703125" style="10" customWidth="1"/>
    <col min="11" max="11" width="7.85546875" style="10" customWidth="1"/>
    <col min="12" max="12" width="14.42578125" style="10" customWidth="1"/>
    <col min="13" max="13" width="11.5703125" style="15" customWidth="1"/>
    <col min="14" max="16384" width="9.140625" style="15"/>
  </cols>
  <sheetData>
    <row r="1" spans="1:13" x14ac:dyDescent="0.25">
      <c r="A1" s="15" t="s">
        <v>154</v>
      </c>
    </row>
    <row r="2" spans="1:13" x14ac:dyDescent="0.25">
      <c r="A2" s="15" t="s">
        <v>325</v>
      </c>
    </row>
    <row r="3" spans="1:13" x14ac:dyDescent="0.25">
      <c r="A3" s="348">
        <f>SUM(P__!K26)</f>
        <v>2021</v>
      </c>
      <c r="B3" s="368" t="s">
        <v>101</v>
      </c>
      <c r="C3" s="348" t="s">
        <v>136</v>
      </c>
      <c r="D3" s="348" t="s">
        <v>135</v>
      </c>
      <c r="E3" s="348" t="s">
        <v>149</v>
      </c>
      <c r="F3" s="348" t="s">
        <v>139</v>
      </c>
      <c r="G3" s="348" t="s">
        <v>150</v>
      </c>
      <c r="H3" s="348" t="s">
        <v>148</v>
      </c>
      <c r="I3" s="348" t="s">
        <v>299</v>
      </c>
      <c r="J3" s="348"/>
      <c r="K3" s="348" t="s">
        <v>71</v>
      </c>
      <c r="L3" s="348" t="s">
        <v>151</v>
      </c>
      <c r="M3" s="371" t="s">
        <v>147</v>
      </c>
    </row>
    <row r="4" spans="1:13" x14ac:dyDescent="0.25">
      <c r="A4" s="16">
        <v>1</v>
      </c>
      <c r="B4" s="7" t="s">
        <v>73</v>
      </c>
      <c r="C4" s="6">
        <f>SUM(P__!U27)</f>
        <v>85.714285714285708</v>
      </c>
      <c r="D4" s="6">
        <f>SUM(P__!V27)</f>
        <v>40</v>
      </c>
      <c r="E4" s="6">
        <f>SUM(P__!W27)</f>
        <v>97.087378640776706</v>
      </c>
      <c r="F4" s="369">
        <f>SUMIF(P__!X27,"&gt;1",(P__!X27))</f>
        <v>100</v>
      </c>
      <c r="G4" s="6">
        <f>SUMIF(P__!Y27,"&gt;1",(P__!Y27))</f>
        <v>94.827586206896555</v>
      </c>
      <c r="H4" s="6">
        <f>SUMIF(P__!Z27,"&gt;1",(P__!Z27))</f>
        <v>87.5</v>
      </c>
      <c r="I4" s="6">
        <f>SUMIF(P__!AA27,"&gt;1",(P__!AA27))</f>
        <v>87.179487179487182</v>
      </c>
      <c r="J4" s="7">
        <v>1801</v>
      </c>
      <c r="K4" s="19">
        <f>RANK(F4,$F$4:$F$25,1)+COUNTIF($F$4:F4,F4)-1</f>
        <v>17</v>
      </c>
      <c r="L4" s="7" t="str">
        <f>INDEX(B4:I25,MATCH(1,K4:K25,0),1)</f>
        <v>Nisko</v>
      </c>
      <c r="M4" s="6">
        <f>INDEX(B4:I25,MATCH(1,K4:K25,0),5)</f>
        <v>72.222222222222214</v>
      </c>
    </row>
    <row r="5" spans="1:13" x14ac:dyDescent="0.25">
      <c r="A5" s="16">
        <v>2</v>
      </c>
      <c r="B5" s="7" t="s">
        <v>74</v>
      </c>
      <c r="C5" s="6">
        <f>SUM(P__!U28)</f>
        <v>85.618729096989966</v>
      </c>
      <c r="D5" s="6">
        <f>SUM(P__!V28)</f>
        <v>59.259259259259252</v>
      </c>
      <c r="E5" s="6">
        <f>SUM(P__!W28)</f>
        <v>96.428571428571431</v>
      </c>
      <c r="F5" s="369">
        <f>SUMIF(P__!X28,"&gt;1",(P__!X28))</f>
        <v>95.161290322580655</v>
      </c>
      <c r="G5" s="6">
        <f>SUM(P__!Y28)</f>
        <v>99.090909090909093</v>
      </c>
      <c r="H5" s="6">
        <f>SUM(P__!Z28)</f>
        <v>100</v>
      </c>
      <c r="I5" s="6">
        <f>SUM(P__!AA28)</f>
        <v>92.10526315789474</v>
      </c>
      <c r="J5" s="7">
        <v>1802</v>
      </c>
      <c r="K5" s="19">
        <f>RANK(F5,$F$4:$F$25,1)+COUNTIF($F$4:F5,F5)-1</f>
        <v>11</v>
      </c>
      <c r="L5" s="18" t="str">
        <f>INDEX(B4:I25,MATCH(2,K4:K25,0),1)</f>
        <v>Dębica</v>
      </c>
      <c r="M5" s="6">
        <f>INDEX(B4:I25,MATCH(2,K4:K25,0),5)</f>
        <v>75</v>
      </c>
    </row>
    <row r="6" spans="1:13" x14ac:dyDescent="0.25">
      <c r="A6" s="16">
        <v>3</v>
      </c>
      <c r="B6" s="7" t="s">
        <v>75</v>
      </c>
      <c r="C6" s="6">
        <f>SUM(P__!U29)</f>
        <v>78.968253968253961</v>
      </c>
      <c r="D6" s="6">
        <f>SUM(P__!V29)</f>
        <v>52.631578947368418</v>
      </c>
      <c r="E6" s="6">
        <f>SUM(P__!W29)</f>
        <v>98.75</v>
      </c>
      <c r="F6" s="369">
        <f>SUMIF(P__!X29,"&gt;1",(P__!X29))</f>
        <v>75</v>
      </c>
      <c r="G6" s="6">
        <f>SUM(P__!Y29)</f>
        <v>100</v>
      </c>
      <c r="H6" s="6">
        <f>SUM(P__!Z29)</f>
        <v>97.183098591549296</v>
      </c>
      <c r="I6" s="6">
        <f>SUM(P__!AA29)</f>
        <v>91.428571428571431</v>
      </c>
      <c r="J6" s="7">
        <v>1803</v>
      </c>
      <c r="K6" s="19">
        <f>RANK(F6,$F$4:$F$25,1)+COUNTIF($F$4:F6,F6)-1</f>
        <v>2</v>
      </c>
      <c r="L6" s="18" t="str">
        <f>INDEX(B4:I25,MATCH(3,K4:K25,0),1)</f>
        <v>Rzeszów</v>
      </c>
      <c r="M6" s="6">
        <f>INDEX(B4:I25,MATCH(3,K4:K25,0),5)</f>
        <v>82.051282051282044</v>
      </c>
    </row>
    <row r="7" spans="1:13" x14ac:dyDescent="0.25">
      <c r="A7" s="16">
        <v>4</v>
      </c>
      <c r="B7" s="7" t="s">
        <v>76</v>
      </c>
      <c r="C7" s="6">
        <f>SUM(P__!U30)</f>
        <v>86.52849740932642</v>
      </c>
      <c r="D7" s="6">
        <f>SUM(P__!V30)</f>
        <v>66.666666666666657</v>
      </c>
      <c r="E7" s="6">
        <f>SUM(P__!W30)</f>
        <v>97.407407407407405</v>
      </c>
      <c r="F7" s="369">
        <f>SUMIF(P__!X30,"&gt;1",(P__!X30))</f>
        <v>99.625468164794</v>
      </c>
      <c r="G7" s="6">
        <f>SUM(P__!Y30)</f>
        <v>100</v>
      </c>
      <c r="H7" s="6">
        <f>SUM(P__!Z30)</f>
        <v>99.107142857142861</v>
      </c>
      <c r="I7" s="6">
        <f>SUM(P__!AA30)</f>
        <v>80.701754385964904</v>
      </c>
      <c r="J7" s="7">
        <v>1804</v>
      </c>
      <c r="K7" s="19">
        <f>RANK(F7,$F$4:$F$25,1)+COUNTIF($F$4:F7,F7)-1</f>
        <v>16</v>
      </c>
      <c r="L7" s="18" t="str">
        <f>INDEX(B4:I25,MATCH(4,K4:K25,0),1)</f>
        <v>Lesko</v>
      </c>
      <c r="M7" s="6">
        <f>INDEX(B4:I25,MATCH(4,K4:K25,0),5)</f>
        <v>83.333333333333343</v>
      </c>
    </row>
    <row r="8" spans="1:13" x14ac:dyDescent="0.25">
      <c r="A8" s="16">
        <v>5</v>
      </c>
      <c r="B8" s="7" t="s">
        <v>77</v>
      </c>
      <c r="C8" s="6">
        <f>SUM(P__!U31)</f>
        <v>91.520467836257311</v>
      </c>
      <c r="D8" s="6">
        <f>SUM(P__!V31)</f>
        <v>34.782608695652172</v>
      </c>
      <c r="E8" s="6">
        <f>SUM(P__!W31)</f>
        <v>93.589743589743591</v>
      </c>
      <c r="F8" s="369">
        <f>SUMIF(P__!X31,"&gt;1",(P__!X31))</f>
        <v>100</v>
      </c>
      <c r="G8" s="6">
        <f>SUM(P__!Y31)</f>
        <v>97.883597883597886</v>
      </c>
      <c r="H8" s="6">
        <f>SUM(P__!Z31)</f>
        <v>84.552845528455293</v>
      </c>
      <c r="I8" s="6">
        <f>SUM(P__!AA31)</f>
        <v>93.333333333333329</v>
      </c>
      <c r="J8" s="7">
        <v>1805</v>
      </c>
      <c r="K8" s="19">
        <f>RANK(F8,$F$4:$F$25,1)+COUNTIF($F$4:F8,F8)-1</f>
        <v>18</v>
      </c>
      <c r="L8" s="18" t="str">
        <f>INDEX(B4:I25,MATCH(5,K4:K25,0),1)</f>
        <v>Przeworsk</v>
      </c>
      <c r="M8" s="6">
        <f>INDEX(B4:I25,MATCH(5,K4:K25,0),5)</f>
        <v>88.535031847133766</v>
      </c>
    </row>
    <row r="9" spans="1:13" x14ac:dyDescent="0.25">
      <c r="A9" s="16">
        <v>6</v>
      </c>
      <c r="B9" s="7" t="s">
        <v>78</v>
      </c>
      <c r="C9" s="6">
        <f>SUM(P__!U32)</f>
        <v>88.81578947368422</v>
      </c>
      <c r="D9" s="6">
        <f>SUM(P__!V32)</f>
        <v>82.857142857142861</v>
      </c>
      <c r="E9" s="6">
        <f>SUM(P__!W32)</f>
        <v>98.260869565217391</v>
      </c>
      <c r="F9" s="369">
        <f>SUMIF(P__!X32,"&gt;1",(P__!X32))</f>
        <v>100</v>
      </c>
      <c r="G9" s="6">
        <f>SUM(P__!Y32)</f>
        <v>98.387096774193552</v>
      </c>
      <c r="H9" s="6">
        <f>SUM(P__!Z32)</f>
        <v>95.348837209302332</v>
      </c>
      <c r="I9" s="6">
        <f>SUM(P__!AA32)</f>
        <v>100</v>
      </c>
      <c r="J9" s="7">
        <v>1806</v>
      </c>
      <c r="K9" s="19">
        <f>RANK(F9,$F$4:$F$25,1)+COUNTIF($F$4:F9,F9)-1</f>
        <v>19</v>
      </c>
      <c r="L9" s="18" t="str">
        <f>INDEX(B4:I25,MATCH(6,K4:K25,0),1)</f>
        <v>Stalowa Wola</v>
      </c>
      <c r="M9" s="6">
        <f>INDEX(B4:I25,MATCH(6,K4:K25,0),5)</f>
        <v>92.592592592592595</v>
      </c>
    </row>
    <row r="10" spans="1:13" x14ac:dyDescent="0.25">
      <c r="A10" s="218">
        <v>7</v>
      </c>
      <c r="B10" s="219" t="s">
        <v>79</v>
      </c>
      <c r="C10" s="215">
        <f>SUM(P__!U33)</f>
        <v>82.916666666666671</v>
      </c>
      <c r="D10" s="215">
        <f>SUM(P__!V33)</f>
        <v>45.283018867924532</v>
      </c>
      <c r="E10" s="215">
        <f>SUM(P__!W33)</f>
        <v>96.428571428571431</v>
      </c>
      <c r="F10" s="370">
        <f>SUMIF(P__!X33,"&gt;1",(P__!X33))</f>
        <v>96.428571428571431</v>
      </c>
      <c r="G10" s="215">
        <f>SUM(P__!Y33)</f>
        <v>98.165137614678898</v>
      </c>
      <c r="H10" s="215">
        <f>SUM(P__!Z33)</f>
        <v>88.059701492537314</v>
      </c>
      <c r="I10" s="215">
        <f>SUM(P__!AA33)</f>
        <v>97.5</v>
      </c>
      <c r="J10" s="219" t="s">
        <v>143</v>
      </c>
      <c r="K10" s="19">
        <f>RANK(F10,$F$4:$F$25,1)+COUNTIF($F$4:F10,F10)-1</f>
        <v>12</v>
      </c>
      <c r="L10" s="220" t="str">
        <f>INDEX(B4:I25,MATCH(7,K4:K25,0),1)</f>
        <v>Ropczyce</v>
      </c>
      <c r="M10" s="216">
        <f>INDEX(B4:I25,MATCH(7,K4:K25,0),5)</f>
        <v>92.957746478873233</v>
      </c>
    </row>
    <row r="11" spans="1:13" x14ac:dyDescent="0.25">
      <c r="A11" s="16">
        <v>8</v>
      </c>
      <c r="B11" s="7" t="s">
        <v>80</v>
      </c>
      <c r="C11" s="6">
        <f>SUM(P__!U35)</f>
        <v>91.017964071856284</v>
      </c>
      <c r="D11" s="6">
        <f>SUM(P__!V35)</f>
        <v>39.784946236559136</v>
      </c>
      <c r="E11" s="6">
        <f>SUM(P__!W35)</f>
        <v>93.181818181818173</v>
      </c>
      <c r="F11" s="369">
        <f>SUMIF(P__!X35,"&gt;1",(P__!X35))</f>
        <v>94.73684210526315</v>
      </c>
      <c r="G11" s="6">
        <f>SUM(P__!Y35)</f>
        <v>95.689655172413794</v>
      </c>
      <c r="H11" s="6">
        <f>SUM(P__!Z35)</f>
        <v>80</v>
      </c>
      <c r="I11" s="6">
        <f>SUM(P__!AA35)</f>
        <v>97.142857142857139</v>
      </c>
      <c r="J11" s="7">
        <v>1808</v>
      </c>
      <c r="K11" s="19">
        <f>RANK(F11,$F$4:$F$25,1)+COUNTIF($F$4:F11,F11)-1</f>
        <v>9</v>
      </c>
      <c r="L11" s="18" t="str">
        <f>INDEX(B4:I25,MATCH(8,K4:K25,0),1)</f>
        <v>Podkarpacie</v>
      </c>
      <c r="M11" s="6">
        <f>INDEX(B4:I25,MATCH(8,K4:K25,0),5)</f>
        <v>94.23585404547859</v>
      </c>
    </row>
    <row r="12" spans="1:13" x14ac:dyDescent="0.25">
      <c r="A12" s="16">
        <v>9</v>
      </c>
      <c r="B12" s="7" t="s">
        <v>81</v>
      </c>
      <c r="C12" s="6">
        <f>SUM(P__!U36)</f>
        <v>86.075949367088612</v>
      </c>
      <c r="D12" s="6">
        <f>SUM(P__!V36)</f>
        <v>50</v>
      </c>
      <c r="E12" s="6">
        <f>SUM(P__!W36)</f>
        <v>98.101265822784811</v>
      </c>
      <c r="F12" s="369">
        <f>SUMIF(P__!X36,"&gt;1",(P__!X36))</f>
        <v>100</v>
      </c>
      <c r="G12" s="6">
        <f>SUM(P__!Y36)</f>
        <v>84.05797101449275</v>
      </c>
      <c r="H12" s="431">
        <f>SUMIF(P__!Z36,"&gt;1",(P__!Z36))</f>
        <v>0</v>
      </c>
      <c r="I12" s="6">
        <f>SUM(P__!AA36)</f>
        <v>89.583333333333343</v>
      </c>
      <c r="J12" s="7">
        <v>1809</v>
      </c>
      <c r="K12" s="19">
        <f>RANK(F12,$F$4:$F$25,1)+COUNTIF($F$4:F12,F12)-1</f>
        <v>20</v>
      </c>
      <c r="L12" s="154" t="str">
        <f>INDEX(B4:I25,MATCH(9,K4:K25,0),1)</f>
        <v>Leżajsk</v>
      </c>
      <c r="M12" s="22">
        <f>INDEX(B4:I25,MATCH(9,K4:K25,0),5)</f>
        <v>94.73684210526315</v>
      </c>
    </row>
    <row r="13" spans="1:13" x14ac:dyDescent="0.25">
      <c r="A13" s="16">
        <v>10</v>
      </c>
      <c r="B13" s="7" t="s">
        <v>82</v>
      </c>
      <c r="C13" s="6">
        <f>SUM(P__!U37)</f>
        <v>86.5625</v>
      </c>
      <c r="D13" s="6">
        <f>SUM(P__!V37)</f>
        <v>24.731182795698924</v>
      </c>
      <c r="E13" s="6">
        <f>SUM(P__!W37)</f>
        <v>99.350649350649363</v>
      </c>
      <c r="F13" s="369">
        <f>SUMIF(P__!X37,"&gt;1",(P__!X37))</f>
        <v>97.61904761904762</v>
      </c>
      <c r="G13" s="6">
        <f>SUM(P__!Y37)</f>
        <v>100</v>
      </c>
      <c r="H13" s="6">
        <f>SUM(P__!Z37)</f>
        <v>100</v>
      </c>
      <c r="I13" s="6">
        <f>SUM(P__!AA37)</f>
        <v>95.918367346938766</v>
      </c>
      <c r="J13" s="7">
        <v>1810</v>
      </c>
      <c r="K13" s="19">
        <f>RANK(F13,$F$4:$F$25,1)+COUNTIF($F$4:F13,F13)-1</f>
        <v>14</v>
      </c>
      <c r="L13" s="18" t="str">
        <f>INDEX(B4:I25,MATCH(10,K4:K25,0),1)</f>
        <v>Przemyśl</v>
      </c>
      <c r="M13" s="6">
        <f>INDEX(B4:I25,MATCH(10,K4:K25,0),5)</f>
        <v>94.85294117647058</v>
      </c>
    </row>
    <row r="14" spans="1:13" x14ac:dyDescent="0.25">
      <c r="A14" s="16">
        <v>11</v>
      </c>
      <c r="B14" s="7" t="s">
        <v>83</v>
      </c>
      <c r="C14" s="6">
        <f>SUM(P__!U38)</f>
        <v>87.341772151898738</v>
      </c>
      <c r="D14" s="6">
        <f>SUM(P__!V38)</f>
        <v>69.230769230769226</v>
      </c>
      <c r="E14" s="6">
        <f>SUM(P__!W38)</f>
        <v>84.063745019920319</v>
      </c>
      <c r="F14" s="369">
        <f>SUMIF(P__!X38,"&gt;1",(P__!X38))</f>
        <v>98.461538461538467</v>
      </c>
      <c r="G14" s="6">
        <f>SUM(P__!Y38)</f>
        <v>98.165137614678898</v>
      </c>
      <c r="H14" s="6">
        <f>SUM(P__!Z38)</f>
        <v>86.666666666666671</v>
      </c>
      <c r="I14" s="6">
        <f>SUM(P__!AA38)</f>
        <v>100</v>
      </c>
      <c r="J14" s="7">
        <v>1811</v>
      </c>
      <c r="K14" s="19">
        <f>RANK(F14,$F$4:$F$25,1)+COUNTIF($F$4:F14,F14)-1</f>
        <v>15</v>
      </c>
      <c r="L14" s="18" t="str">
        <f>INDEX(B4:I25,MATCH(11,K4:K25,0),1)</f>
        <v>Brzozów</v>
      </c>
      <c r="M14" s="6">
        <f>INDEX(B4:I25,MATCH(11,K4:K25,0),5)</f>
        <v>95.161290322580655</v>
      </c>
    </row>
    <row r="15" spans="1:13" x14ac:dyDescent="0.25">
      <c r="A15" s="16">
        <v>12</v>
      </c>
      <c r="B15" s="7" t="s">
        <v>84</v>
      </c>
      <c r="C15" s="6">
        <f>SUM(P__!U39)</f>
        <v>75.786924939467312</v>
      </c>
      <c r="D15" s="6">
        <f>SUM(P__!V39)</f>
        <v>37.681159420289859</v>
      </c>
      <c r="E15" s="6">
        <f>SUM(P__!W39)</f>
        <v>86.797752808988761</v>
      </c>
      <c r="F15" s="369">
        <f>SUMIF(P__!X39,"&gt;1",(P__!X39))</f>
        <v>72.222222222222214</v>
      </c>
      <c r="G15" s="6">
        <f>SUM(P__!Y39)</f>
        <v>92.20779220779221</v>
      </c>
      <c r="H15" s="6">
        <f>SUM(P__!Z39)</f>
        <v>81.395348837209298</v>
      </c>
      <c r="I15" s="6">
        <f>SUM(P__!AA39)</f>
        <v>88.235294117647058</v>
      </c>
      <c r="J15" s="7">
        <v>1812</v>
      </c>
      <c r="K15" s="19">
        <f>RANK(F15,$F$4:$F$25,1)+COUNTIF($F$4:F15,F15)-1</f>
        <v>1</v>
      </c>
      <c r="L15" s="18" t="str">
        <f>INDEX(B4:I25,MATCH(12,K4:K25,0),1)</f>
        <v>Krosno</v>
      </c>
      <c r="M15" s="6">
        <f>INDEX(B4:I25,MATCH(12,K4:K25,0),5)</f>
        <v>96.428571428571431</v>
      </c>
    </row>
    <row r="16" spans="1:13" x14ac:dyDescent="0.25">
      <c r="A16" s="16">
        <v>13</v>
      </c>
      <c r="B16" s="7" t="s">
        <v>85</v>
      </c>
      <c r="C16" s="6">
        <f>SUM(P__!U40)</f>
        <v>78.01418439716312</v>
      </c>
      <c r="D16" s="6">
        <f>SUM(P__!V40)</f>
        <v>56.862745098039213</v>
      </c>
      <c r="E16" s="6">
        <f>SUM(P__!W40)</f>
        <v>89.562289562289564</v>
      </c>
      <c r="F16" s="369">
        <f>SUMIF(P__!X40,"&gt;1",(P__!X40))</f>
        <v>88.535031847133766</v>
      </c>
      <c r="G16" s="6">
        <f>SUM(P__!Y40)</f>
        <v>91.025641025641022</v>
      </c>
      <c r="H16" s="6">
        <f>SUM(P__!Z40)</f>
        <v>76.785714285714292</v>
      </c>
      <c r="I16" s="6">
        <f>SUM(P__!AA40)</f>
        <v>82.142857142857139</v>
      </c>
      <c r="J16" s="7">
        <v>1814</v>
      </c>
      <c r="K16" s="20">
        <f>RANK(F16,$F$4:$F$25,1)+COUNTIF($F$4:F16,F16)-1</f>
        <v>5</v>
      </c>
      <c r="L16" s="21" t="str">
        <f>INDEX(B4:I25,MATCH(13,K4:K25,0),1)</f>
        <v>Tarnobrzeg</v>
      </c>
      <c r="M16" s="6">
        <f>INDEX(B4:I25,MATCH(13,K4:K25,0),5)</f>
        <v>97.132616487455195</v>
      </c>
    </row>
    <row r="17" spans="1:13" x14ac:dyDescent="0.25">
      <c r="A17" s="16">
        <v>14</v>
      </c>
      <c r="B17" s="7" t="s">
        <v>86</v>
      </c>
      <c r="C17" s="6">
        <f>SUM(P__!U41)</f>
        <v>80.392156862745097</v>
      </c>
      <c r="D17" s="6">
        <f>SUM(P__!V41)</f>
        <v>77.272727272727266</v>
      </c>
      <c r="E17" s="6">
        <f>SUM(P__!W41)</f>
        <v>81.818181818181827</v>
      </c>
      <c r="F17" s="369">
        <f>SUMIF(P__!X41,"&gt;1",(P__!X41))</f>
        <v>92.957746478873233</v>
      </c>
      <c r="G17" s="6">
        <f>SUM(P__!Y41)</f>
        <v>92.125984251968504</v>
      </c>
      <c r="H17" s="6">
        <f>SUM(P__!Z41)</f>
        <v>82.022471910112358</v>
      </c>
      <c r="I17" s="6">
        <f>SUM(P__!AA41)</f>
        <v>85.714285714285708</v>
      </c>
      <c r="J17" s="7">
        <v>1815</v>
      </c>
      <c r="K17" s="20">
        <f>RANK(F17,$F$4:$F$25,1)+COUNTIF($F$4:F17,F17)-1</f>
        <v>7</v>
      </c>
      <c r="L17" s="21" t="str">
        <f>INDEX(B4:I25,MATCH(14,K4:K25,0),1)</f>
        <v>Łańcut</v>
      </c>
      <c r="M17" s="6">
        <f>INDEX(B4:I25,MATCH(14,K4:K25,0),5)</f>
        <v>97.61904761904762</v>
      </c>
    </row>
    <row r="18" spans="1:13" x14ac:dyDescent="0.25">
      <c r="A18" s="218">
        <v>15</v>
      </c>
      <c r="B18" s="219" t="s">
        <v>87</v>
      </c>
      <c r="C18" s="215">
        <f>SUM(P__!U43)</f>
        <v>83.909574468085097</v>
      </c>
      <c r="D18" s="215">
        <f>SUM(P__!V43)</f>
        <v>55.313351498637594</v>
      </c>
      <c r="E18" s="215">
        <f>SUM(P__!W43)</f>
        <v>90.099009900990097</v>
      </c>
      <c r="F18" s="370">
        <f>SUMIF(P__!X43,"&gt;1",(P__!X43))</f>
        <v>82.051282051282044</v>
      </c>
      <c r="G18" s="215">
        <f>SUM(P__!Y43)</f>
        <v>97.206703910614522</v>
      </c>
      <c r="H18" s="215">
        <f>SUM(P__!Z43)</f>
        <v>91.803278688524586</v>
      </c>
      <c r="I18" s="215">
        <f>SUM(P__!AA43)</f>
        <v>91.428571428571431</v>
      </c>
      <c r="J18" s="219" t="s">
        <v>145</v>
      </c>
      <c r="K18" s="19">
        <f>RANK(F18,$F$4:$F$25,1)+COUNTIF($F$4:F18,F18)-1</f>
        <v>3</v>
      </c>
      <c r="L18" s="7" t="str">
        <f>INDEX(B4:I25,MATCH(15,K4:K25,0),1)</f>
        <v>Mielec</v>
      </c>
      <c r="M18" s="6">
        <f>INDEX(B4:I25,MATCH(15,K4:K25,0),5)</f>
        <v>98.461538461538467</v>
      </c>
    </row>
    <row r="19" spans="1:13" x14ac:dyDescent="0.25">
      <c r="A19" s="16">
        <v>16</v>
      </c>
      <c r="B19" s="7" t="s">
        <v>88</v>
      </c>
      <c r="C19" s="6">
        <f>SUM(P__!U44)</f>
        <v>85.561497326203209</v>
      </c>
      <c r="D19" s="6">
        <f>SUM(P__!V44)</f>
        <v>55.833333333333336</v>
      </c>
      <c r="E19" s="6">
        <f>SUM(P__!W44)</f>
        <v>93.75</v>
      </c>
      <c r="F19" s="369">
        <f>SUMIF(P__!X44,"&gt;1",(P__!X44))</f>
        <v>100</v>
      </c>
      <c r="G19" s="6">
        <f>SUM(P__!Y44)</f>
        <v>100</v>
      </c>
      <c r="H19" s="6">
        <f>SUM(P__!Z44)</f>
        <v>94.230769230769226</v>
      </c>
      <c r="I19" s="6">
        <f>SUM(P__!AA44)</f>
        <v>93.103448275862064</v>
      </c>
      <c r="J19" s="7">
        <v>1817</v>
      </c>
      <c r="K19" s="19">
        <f>RANK(F19,$F$4:$F$25,1)+COUNTIF($F$4:F19,F19)-1</f>
        <v>21</v>
      </c>
      <c r="L19" s="7" t="str">
        <f>INDEX(B4:I25,MATCH(16,K4:K25,0),1)</f>
        <v>Jarosław</v>
      </c>
      <c r="M19" s="6">
        <f>INDEX(B4:I25,MATCH(16,K4:K25,0),5)</f>
        <v>99.625468164794</v>
      </c>
    </row>
    <row r="20" spans="1:13" x14ac:dyDescent="0.25">
      <c r="A20" s="16">
        <v>17</v>
      </c>
      <c r="B20" s="7" t="s">
        <v>89</v>
      </c>
      <c r="C20" s="6">
        <f>SUM(P__!U45)</f>
        <v>82.392026578073086</v>
      </c>
      <c r="D20" s="6">
        <f>SUM(P__!V45)</f>
        <v>68.387096774193552</v>
      </c>
      <c r="E20" s="6">
        <f>SUM(P__!W45)</f>
        <v>99.236641221374043</v>
      </c>
      <c r="F20" s="369">
        <f>SUMIF(P__!X45,"&gt;1",(P__!X45))</f>
        <v>92.592592592592595</v>
      </c>
      <c r="G20" s="6">
        <f>SUM(P__!Y45)</f>
        <v>88.659793814432987</v>
      </c>
      <c r="H20" s="6">
        <f>SUM(P__!Z45)</f>
        <v>96.296296296296291</v>
      </c>
      <c r="I20" s="6">
        <f>SUM(P__!AA45)</f>
        <v>94.444444444444443</v>
      </c>
      <c r="J20" s="7">
        <v>1818</v>
      </c>
      <c r="K20" s="19">
        <f>RANK(F20,$F$4:$F$25,1)+COUNTIF($F$4:F20,F20)-1</f>
        <v>6</v>
      </c>
      <c r="L20" s="7" t="str">
        <f>INDEX(B4:I25,MATCH(17,K4:K25,0),1)</f>
        <v>Ustrzyki Dolne</v>
      </c>
      <c r="M20" s="6">
        <f>INDEX(B4:I25,MATCH(17,K4:K25,0),5)</f>
        <v>100</v>
      </c>
    </row>
    <row r="21" spans="1:13" x14ac:dyDescent="0.25">
      <c r="A21" s="16">
        <v>18</v>
      </c>
      <c r="B21" s="7" t="s">
        <v>90</v>
      </c>
      <c r="C21" s="6">
        <f>SUM(P__!U46)</f>
        <v>88.103448275862078</v>
      </c>
      <c r="D21" s="6">
        <f>SUM(P__!V46)</f>
        <v>57.692307692307686</v>
      </c>
      <c r="E21" s="6">
        <f>SUM(P__!W46)</f>
        <v>96.491228070175438</v>
      </c>
      <c r="F21" s="369">
        <f>SUMIF(P__!X46,"&gt;1",(P__!X46))</f>
        <v>100</v>
      </c>
      <c r="G21" s="6">
        <f>SUM(P__!Y46)</f>
        <v>96.590909090909093</v>
      </c>
      <c r="H21" s="6">
        <f>SUM(P__!Z46)</f>
        <v>91.379310344827587</v>
      </c>
      <c r="I21" s="6">
        <f>SUM(P__!AA46)</f>
        <v>100</v>
      </c>
      <c r="J21" s="7">
        <v>1819</v>
      </c>
      <c r="K21" s="19">
        <f>RANK(F21,$F$4:$F$25,1)+COUNTIF($F$4:F21,F21)-1</f>
        <v>22</v>
      </c>
      <c r="L21" s="7" t="str">
        <f>INDEX(B4:I25,MATCH(18,K4:K25,0),1)</f>
        <v>Jasło</v>
      </c>
      <c r="M21" s="6">
        <f>INDEX(B4:I25,MATCH(18,K4:K25,0),5)</f>
        <v>100</v>
      </c>
    </row>
    <row r="22" spans="1:13" x14ac:dyDescent="0.25">
      <c r="A22" s="218">
        <v>19</v>
      </c>
      <c r="B22" s="219" t="s">
        <v>91</v>
      </c>
      <c r="C22" s="215">
        <f>SUM(P__!U47)</f>
        <v>91.21621621621621</v>
      </c>
      <c r="D22" s="215">
        <f>SUM(P__!V47)</f>
        <v>37.142857142857146</v>
      </c>
      <c r="E22" s="215">
        <f>SUM(P__!W47)</f>
        <v>96.385542168674704</v>
      </c>
      <c r="F22" s="370">
        <f>SUMIF(P__!X47,"&gt;1",(P__!X47))</f>
        <v>97.132616487455195</v>
      </c>
      <c r="G22" s="215">
        <f>SUM(P__!Y47)</f>
        <v>100</v>
      </c>
      <c r="H22" s="215">
        <f>SUM(P__!Z47)</f>
        <v>100</v>
      </c>
      <c r="I22" s="215">
        <f>SUM(P__!AA47)</f>
        <v>91.304347826086953</v>
      </c>
      <c r="J22" s="219" t="s">
        <v>146</v>
      </c>
      <c r="K22" s="19">
        <f>RANK(F22,$F$4:$F$25,1)+COUNTIF($F$4:F22,F22)-1</f>
        <v>13</v>
      </c>
      <c r="L22" s="7" t="str">
        <f>INDEX(B4:I25,MATCH(19,K4:K25,0),1)</f>
        <v>Kolbuszowa</v>
      </c>
      <c r="M22" s="6">
        <f>INDEX(B4:I25,MATCH(19,K4:K25,0),5)</f>
        <v>100</v>
      </c>
    </row>
    <row r="23" spans="1:13" x14ac:dyDescent="0.25">
      <c r="A23" s="16">
        <v>20</v>
      </c>
      <c r="B23" s="7" t="s">
        <v>92</v>
      </c>
      <c r="C23" s="6">
        <f>SUM(P__!U48)</f>
        <v>83.185840707964601</v>
      </c>
      <c r="D23" s="6">
        <f>SUM(P__!V48)</f>
        <v>90</v>
      </c>
      <c r="E23" s="6">
        <f>SUM(P__!W48)</f>
        <v>94.594594594594597</v>
      </c>
      <c r="F23" s="369">
        <f>SUMIF(P__!X48,"&gt;1",(P__!X48))</f>
        <v>83.333333333333343</v>
      </c>
      <c r="G23" s="6">
        <f>SUM(P__!Y48)</f>
        <v>82.857142857142861</v>
      </c>
      <c r="H23" s="6">
        <f>SUM(P__!Z48)</f>
        <v>100</v>
      </c>
      <c r="I23" s="6">
        <f>SUM(P__!AA48)</f>
        <v>89.743589743589752</v>
      </c>
      <c r="J23" s="7">
        <v>1821</v>
      </c>
      <c r="K23" s="19">
        <f>RANK(F23,$F$4:$F$25,1)+COUNTIF($F$4:F23,F23)-1</f>
        <v>4</v>
      </c>
      <c r="L23" s="7" t="str">
        <f>INDEX(B4:I25,MATCH(20,K4:K25,0),1)</f>
        <v>Lubaczów</v>
      </c>
      <c r="M23" s="6">
        <f>INDEX(B4:I25,MATCH(20,K4:K25,0),5)</f>
        <v>100</v>
      </c>
    </row>
    <row r="24" spans="1:13" x14ac:dyDescent="0.25">
      <c r="A24" s="218">
        <v>21</v>
      </c>
      <c r="B24" s="219" t="s">
        <v>97</v>
      </c>
      <c r="C24" s="215">
        <f>SUM(P__!U49)</f>
        <v>85.784313725490193</v>
      </c>
      <c r="D24" s="215">
        <f>SUM(P__!V49)</f>
        <v>44.776119402985074</v>
      </c>
      <c r="E24" s="215">
        <f>SUM(P__!W49)</f>
        <v>97.628458498023718</v>
      </c>
      <c r="F24" s="370">
        <f>SUMIF(P__!X49,"&gt;1",(P__!X49))</f>
        <v>94.85294117647058</v>
      </c>
      <c r="G24" s="215">
        <f>SUM(P__!Y49)</f>
        <v>89.65517241379311</v>
      </c>
      <c r="H24" s="215">
        <f>SUM(P__!Z49)</f>
        <v>81.818181818181827</v>
      </c>
      <c r="I24" s="215">
        <f>SUM(P__!AA49)</f>
        <v>91.304347826086953</v>
      </c>
      <c r="J24" s="219" t="s">
        <v>144</v>
      </c>
      <c r="K24" s="19">
        <f>RANK(F24,$F$4:$F$25,1)+COUNTIF($F$4:F24,F24)-1</f>
        <v>10</v>
      </c>
      <c r="L24" s="7" t="str">
        <f>INDEX(B4:I25,MATCH(21,K4:K25,0),1)</f>
        <v>Sanok</v>
      </c>
      <c r="M24" s="6">
        <f>INDEX(B4:I25,MATCH(21,K4:K25,0),5)</f>
        <v>100</v>
      </c>
    </row>
    <row r="25" spans="1:13" x14ac:dyDescent="0.25">
      <c r="A25" s="16">
        <v>22</v>
      </c>
      <c r="B25" s="18" t="s">
        <v>100</v>
      </c>
      <c r="C25" s="6">
        <f>SUM(P__!U50)</f>
        <v>85.071629401526309</v>
      </c>
      <c r="D25" s="6">
        <f>SUM(P__!V50)</f>
        <v>52.031978680879412</v>
      </c>
      <c r="E25" s="6">
        <f>SUM(P__!W50)</f>
        <v>93.357320786050366</v>
      </c>
      <c r="F25" s="369">
        <f>SUMIF(P__!X50,"&gt;1",(P__!X50))</f>
        <v>94.23585404547859</v>
      </c>
      <c r="G25" s="6">
        <f>SUM(P__!Y50)</f>
        <v>95.395869191049911</v>
      </c>
      <c r="H25" s="6">
        <f>SUM(P__!Z50)</f>
        <v>90.28831562974203</v>
      </c>
      <c r="I25" s="6">
        <f>SUM(P__!AA50)</f>
        <v>91.208791208791212</v>
      </c>
      <c r="J25" s="7">
        <v>1800</v>
      </c>
      <c r="K25" s="19">
        <f>RANK(F25,$F$4:$F$25,1)+COUNTIF($F$4:F25,F25)-1</f>
        <v>8</v>
      </c>
      <c r="L25" s="7" t="str">
        <f>INDEX(B4:I25,MATCH(22,K4:K25,0),1)</f>
        <v>Strzyżów</v>
      </c>
      <c r="M25" s="6">
        <f>INDEX(B4:I25,MATCH(22,K4:K25,0),5)</f>
        <v>100</v>
      </c>
    </row>
    <row r="26" spans="1:13" x14ac:dyDescent="0.25">
      <c r="B26" s="10"/>
      <c r="C26" s="10">
        <v>1</v>
      </c>
      <c r="D26" s="10">
        <v>2</v>
      </c>
      <c r="E26" s="10">
        <v>3</v>
      </c>
      <c r="F26" s="10">
        <v>4</v>
      </c>
      <c r="G26" s="10">
        <v>5</v>
      </c>
      <c r="H26" s="10">
        <v>6</v>
      </c>
      <c r="I26" s="10">
        <v>7</v>
      </c>
    </row>
    <row r="27" spans="1:13" x14ac:dyDescent="0.25">
      <c r="A27" s="16">
        <v>1</v>
      </c>
      <c r="B27" s="17" t="s">
        <v>1</v>
      </c>
      <c r="C27" s="15" t="s">
        <v>152</v>
      </c>
    </row>
    <row r="28" spans="1:13" x14ac:dyDescent="0.25">
      <c r="A28" s="16">
        <v>2</v>
      </c>
      <c r="B28" s="17" t="s">
        <v>2</v>
      </c>
      <c r="C28" s="15" t="s">
        <v>152</v>
      </c>
      <c r="D28" s="30"/>
      <c r="E28" s="30"/>
      <c r="F28" s="30"/>
      <c r="G28" s="30"/>
      <c r="H28" s="30"/>
      <c r="I28" s="30"/>
      <c r="J28" s="30"/>
      <c r="K28" s="15"/>
    </row>
    <row r="29" spans="1:13" x14ac:dyDescent="0.25">
      <c r="A29" s="16">
        <v>3</v>
      </c>
      <c r="B29" s="17" t="s">
        <v>3</v>
      </c>
      <c r="C29" s="15" t="s">
        <v>152</v>
      </c>
    </row>
    <row r="30" spans="1:13" x14ac:dyDescent="0.25">
      <c r="A30" s="348">
        <v>4</v>
      </c>
      <c r="B30" s="368" t="s">
        <v>4</v>
      </c>
      <c r="C30" s="15" t="s">
        <v>152</v>
      </c>
    </row>
    <row r="31" spans="1:13" x14ac:dyDescent="0.25">
      <c r="A31" s="16">
        <v>5</v>
      </c>
      <c r="B31" s="17" t="s">
        <v>16</v>
      </c>
      <c r="C31" s="15" t="s">
        <v>152</v>
      </c>
    </row>
    <row r="32" spans="1:13" x14ac:dyDescent="0.25">
      <c r="A32" s="16">
        <v>6</v>
      </c>
      <c r="B32" s="17" t="s">
        <v>17</v>
      </c>
      <c r="C32" s="15" t="s">
        <v>152</v>
      </c>
    </row>
    <row r="33" spans="1:3" x14ac:dyDescent="0.25">
      <c r="A33" s="16">
        <v>7</v>
      </c>
      <c r="B33" s="17" t="s">
        <v>11</v>
      </c>
      <c r="C33" s="15" t="s">
        <v>152</v>
      </c>
    </row>
  </sheetData>
  <sortState xmlns:xlrd2="http://schemas.microsoft.com/office/spreadsheetml/2017/richdata2" ref="A4:H25">
    <sortCondition ref="F4:F25"/>
  </sortState>
  <pageMargins left="0.7" right="0.7" top="0.75" bottom="0.75" header="0.3" footer="0.3"/>
  <pageSetup paperSize="9" scale="5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15">
    <tabColor rgb="FFFF9900"/>
    <pageSetUpPr fitToPage="1"/>
  </sheetPr>
  <dimension ref="A1:M33"/>
  <sheetViews>
    <sheetView zoomScale="90" zoomScaleNormal="90" workbookViewId="0"/>
  </sheetViews>
  <sheetFormatPr defaultRowHeight="15" x14ac:dyDescent="0.25"/>
  <cols>
    <col min="1" max="1" width="5.140625" style="15" customWidth="1"/>
    <col min="2" max="2" width="13.42578125" style="15" customWidth="1"/>
    <col min="3" max="3" width="8.28515625" style="15" customWidth="1"/>
    <col min="4" max="4" width="9.140625" style="15"/>
    <col min="5" max="5" width="11" style="15" customWidth="1"/>
    <col min="6" max="6" width="10.5703125" style="15" customWidth="1"/>
    <col min="7" max="7" width="10" style="15" customWidth="1"/>
    <col min="8" max="9" width="9.5703125" style="15" customWidth="1"/>
    <col min="10" max="10" width="11.5703125" style="10" customWidth="1"/>
    <col min="11" max="11" width="7.85546875" style="10" customWidth="1"/>
    <col min="12" max="12" width="14.42578125" style="10" customWidth="1"/>
    <col min="13" max="13" width="11.5703125" style="15" customWidth="1"/>
    <col min="14" max="16384" width="9.140625" style="15"/>
  </cols>
  <sheetData>
    <row r="1" spans="1:13" x14ac:dyDescent="0.25">
      <c r="A1" s="15" t="s">
        <v>153</v>
      </c>
    </row>
    <row r="2" spans="1:13" x14ac:dyDescent="0.25">
      <c r="A2" s="15" t="s">
        <v>325</v>
      </c>
    </row>
    <row r="3" spans="1:13" x14ac:dyDescent="0.25">
      <c r="A3" s="348">
        <f>SUM(P__!K26)</f>
        <v>2021</v>
      </c>
      <c r="B3" s="368" t="s">
        <v>101</v>
      </c>
      <c r="C3" s="348" t="s">
        <v>136</v>
      </c>
      <c r="D3" s="348" t="s">
        <v>135</v>
      </c>
      <c r="E3" s="348" t="s">
        <v>149</v>
      </c>
      <c r="F3" s="348" t="s">
        <v>139</v>
      </c>
      <c r="G3" s="348" t="s">
        <v>150</v>
      </c>
      <c r="H3" s="348" t="s">
        <v>148</v>
      </c>
      <c r="I3" s="348" t="s">
        <v>299</v>
      </c>
      <c r="J3" s="16"/>
      <c r="K3" s="16" t="s">
        <v>71</v>
      </c>
      <c r="L3" s="16" t="s">
        <v>151</v>
      </c>
      <c r="M3" s="43" t="s">
        <v>147</v>
      </c>
    </row>
    <row r="4" spans="1:13" x14ac:dyDescent="0.25">
      <c r="A4" s="16">
        <v>1</v>
      </c>
      <c r="B4" s="7" t="s">
        <v>73</v>
      </c>
      <c r="C4" s="6">
        <f>SUM(P__!U27)</f>
        <v>85.714285714285708</v>
      </c>
      <c r="D4" s="6">
        <f>SUM(P__!V27)</f>
        <v>40</v>
      </c>
      <c r="E4" s="6">
        <f>SUM(P__!W27)</f>
        <v>97.087378640776706</v>
      </c>
      <c r="F4" s="6">
        <f>SUMIF(P__!X27,"&gt;1",(P__!X27))</f>
        <v>100</v>
      </c>
      <c r="G4" s="369">
        <f>SUMIF(P__!Y27,"&gt;1",(P__!Y27))</f>
        <v>94.827586206896555</v>
      </c>
      <c r="H4" s="6">
        <f>SUMIF(P__!Z27,"&gt;1",(P__!Z27))</f>
        <v>87.5</v>
      </c>
      <c r="I4" s="6">
        <f>SUMIF(P__!AA27,"&gt;1",(P__!AA27))</f>
        <v>87.179487179487182</v>
      </c>
      <c r="J4" s="7">
        <v>1801</v>
      </c>
      <c r="K4" s="19">
        <f>RANK(G4,$G$4:$G$25,1)+COUNTIF($G$4:G4,G4)-1</f>
        <v>8</v>
      </c>
      <c r="L4" s="7" t="str">
        <f>INDEX(B4:I25,MATCH(1,K4:K25,0),1)</f>
        <v>Lesko</v>
      </c>
      <c r="M4" s="6">
        <f>INDEX(B4:I25,MATCH(1,K4:K25,0),6)</f>
        <v>82.857142857142861</v>
      </c>
    </row>
    <row r="5" spans="1:13" x14ac:dyDescent="0.25">
      <c r="A5" s="16">
        <v>2</v>
      </c>
      <c r="B5" s="7" t="s">
        <v>74</v>
      </c>
      <c r="C5" s="6">
        <f>SUM(P__!U28)</f>
        <v>85.618729096989966</v>
      </c>
      <c r="D5" s="6">
        <f>SUM(P__!V28)</f>
        <v>59.259259259259252</v>
      </c>
      <c r="E5" s="6">
        <f>SUM(P__!W28)</f>
        <v>96.428571428571431</v>
      </c>
      <c r="F5" s="6">
        <f>SUMIF(P__!X28,"&gt;1",(P__!X28))</f>
        <v>95.161290322580655</v>
      </c>
      <c r="G5" s="369">
        <f>SUM(P__!Y28)</f>
        <v>99.090909090909093</v>
      </c>
      <c r="H5" s="6">
        <f>SUM(P__!Z28)</f>
        <v>100</v>
      </c>
      <c r="I5" s="6">
        <f>SUM(P__!AA28)</f>
        <v>92.10526315789474</v>
      </c>
      <c r="J5" s="7">
        <v>1802</v>
      </c>
      <c r="K5" s="19">
        <f>RANK(G5,$G$4:$G$25,1)+COUNTIF($G$4:G5,G5)-1</f>
        <v>17</v>
      </c>
      <c r="L5" s="18" t="str">
        <f>INDEX(B4:I25,MATCH(2,K4:K25,0),1)</f>
        <v>Lubaczów</v>
      </c>
      <c r="M5" s="6">
        <f>INDEX(B4:I25,MATCH(2,K4:K25,0),6)</f>
        <v>84.05797101449275</v>
      </c>
    </row>
    <row r="6" spans="1:13" x14ac:dyDescent="0.25">
      <c r="A6" s="16">
        <v>3</v>
      </c>
      <c r="B6" s="7" t="s">
        <v>75</v>
      </c>
      <c r="C6" s="6">
        <f>SUM(P__!U29)</f>
        <v>78.968253968253961</v>
      </c>
      <c r="D6" s="6">
        <f>SUM(P__!V29)</f>
        <v>52.631578947368418</v>
      </c>
      <c r="E6" s="6">
        <f>SUM(P__!W29)</f>
        <v>98.75</v>
      </c>
      <c r="F6" s="6">
        <f>SUMIF(P__!X29,"&gt;1",(P__!X29))</f>
        <v>75</v>
      </c>
      <c r="G6" s="369">
        <f>SUM(P__!Y29)</f>
        <v>100</v>
      </c>
      <c r="H6" s="6">
        <f>SUM(P__!Z29)</f>
        <v>97.183098591549296</v>
      </c>
      <c r="I6" s="6">
        <f>SUM(P__!AA29)</f>
        <v>91.428571428571431</v>
      </c>
      <c r="J6" s="7">
        <v>1803</v>
      </c>
      <c r="K6" s="19">
        <f>RANK(G6,$G$4:$G$25,1)+COUNTIF($G$4:G6,G6)-1</f>
        <v>18</v>
      </c>
      <c r="L6" s="18" t="str">
        <f>INDEX(B4:I25,MATCH(3,K4:K25,0),1)</f>
        <v>Stalowa Wola</v>
      </c>
      <c r="M6" s="6">
        <f>INDEX(B4:I25,MATCH(3,K4:K25,0),6)</f>
        <v>88.659793814432987</v>
      </c>
    </row>
    <row r="7" spans="1:13" x14ac:dyDescent="0.25">
      <c r="A7" s="16">
        <v>4</v>
      </c>
      <c r="B7" s="7" t="s">
        <v>76</v>
      </c>
      <c r="C7" s="6">
        <f>SUM(P__!U30)</f>
        <v>86.52849740932642</v>
      </c>
      <c r="D7" s="6">
        <f>SUM(P__!V30)</f>
        <v>66.666666666666657</v>
      </c>
      <c r="E7" s="6">
        <f>SUM(P__!W30)</f>
        <v>97.407407407407405</v>
      </c>
      <c r="F7" s="6">
        <f>SUMIF(P__!X30,"&gt;1",(P__!X30))</f>
        <v>99.625468164794</v>
      </c>
      <c r="G7" s="369">
        <f>SUM(P__!Y30)</f>
        <v>100</v>
      </c>
      <c r="H7" s="6">
        <f>SUM(P__!Z30)</f>
        <v>99.107142857142861</v>
      </c>
      <c r="I7" s="6">
        <f>SUM(P__!AA30)</f>
        <v>80.701754385964904</v>
      </c>
      <c r="J7" s="7">
        <v>1804</v>
      </c>
      <c r="K7" s="19">
        <f>RANK(G7,$G$4:$G$25,1)+COUNTIF($G$4:G7,G7)-1</f>
        <v>19</v>
      </c>
      <c r="L7" s="18" t="str">
        <f>INDEX(B4:I25,MATCH(4,K4:K25,0),1)</f>
        <v>Przemyśl</v>
      </c>
      <c r="M7" s="6">
        <f>INDEX(B4:I25,MATCH(4,K4:K25,0),6)</f>
        <v>89.65517241379311</v>
      </c>
    </row>
    <row r="8" spans="1:13" x14ac:dyDescent="0.25">
      <c r="A8" s="16">
        <v>5</v>
      </c>
      <c r="B8" s="7" t="s">
        <v>77</v>
      </c>
      <c r="C8" s="6">
        <f>SUM(P__!U31)</f>
        <v>91.520467836257311</v>
      </c>
      <c r="D8" s="6">
        <f>SUM(P__!V31)</f>
        <v>34.782608695652172</v>
      </c>
      <c r="E8" s="6">
        <f>SUM(P__!W31)</f>
        <v>93.589743589743591</v>
      </c>
      <c r="F8" s="6">
        <f>SUMIF(P__!X31,"&gt;1",(P__!X31))</f>
        <v>100</v>
      </c>
      <c r="G8" s="369">
        <f>SUM(P__!Y31)</f>
        <v>97.883597883597886</v>
      </c>
      <c r="H8" s="6">
        <f>SUM(P__!Z31)</f>
        <v>84.552845528455293</v>
      </c>
      <c r="I8" s="6">
        <f>SUM(P__!AA31)</f>
        <v>93.333333333333329</v>
      </c>
      <c r="J8" s="7">
        <v>1805</v>
      </c>
      <c r="K8" s="19">
        <f>RANK(G8,$G$4:$G$25,1)+COUNTIF($G$4:G8,G8)-1</f>
        <v>13</v>
      </c>
      <c r="L8" s="18" t="str">
        <f>INDEX(B4:I25,MATCH(5,K4:K25,0),1)</f>
        <v>Przeworsk</v>
      </c>
      <c r="M8" s="6">
        <f>INDEX(B4:I25,MATCH(5,K4:K25,0),6)</f>
        <v>91.025641025641022</v>
      </c>
    </row>
    <row r="9" spans="1:13" x14ac:dyDescent="0.25">
      <c r="A9" s="16">
        <v>6</v>
      </c>
      <c r="B9" s="7" t="s">
        <v>78</v>
      </c>
      <c r="C9" s="6">
        <f>SUM(P__!U32)</f>
        <v>88.81578947368422</v>
      </c>
      <c r="D9" s="6">
        <f>SUM(P__!V32)</f>
        <v>82.857142857142861</v>
      </c>
      <c r="E9" s="6">
        <f>SUM(P__!W32)</f>
        <v>98.260869565217391</v>
      </c>
      <c r="F9" s="6">
        <f>SUMIF(P__!X32,"&gt;1",(P__!X32))</f>
        <v>100</v>
      </c>
      <c r="G9" s="369">
        <f>SUM(P__!Y32)</f>
        <v>98.387096774193552</v>
      </c>
      <c r="H9" s="6">
        <f>SUM(P__!Z32)</f>
        <v>95.348837209302332</v>
      </c>
      <c r="I9" s="6">
        <f>SUM(P__!AA32)</f>
        <v>100</v>
      </c>
      <c r="J9" s="7">
        <v>1806</v>
      </c>
      <c r="K9" s="19">
        <f>RANK(G9,$G$4:$G$25,1)+COUNTIF($G$4:G9,G9)-1</f>
        <v>16</v>
      </c>
      <c r="L9" s="18" t="str">
        <f>INDEX(B4:I25,MATCH(6,K4:K25,0),1)</f>
        <v>Ropczyce</v>
      </c>
      <c r="M9" s="6">
        <f>INDEX(B4:I25,MATCH(6,K4:K25,0),6)</f>
        <v>92.125984251968504</v>
      </c>
    </row>
    <row r="10" spans="1:13" x14ac:dyDescent="0.25">
      <c r="A10" s="218">
        <v>7</v>
      </c>
      <c r="B10" s="219" t="s">
        <v>79</v>
      </c>
      <c r="C10" s="215">
        <f>SUM(P__!U33)</f>
        <v>82.916666666666671</v>
      </c>
      <c r="D10" s="215">
        <f>SUM(P__!V33)</f>
        <v>45.283018867924532</v>
      </c>
      <c r="E10" s="215">
        <f>SUM(P__!W33)</f>
        <v>96.428571428571431</v>
      </c>
      <c r="F10" s="215">
        <f>SUMIF(P__!X33,"&gt;1",(P__!X33))</f>
        <v>96.428571428571431</v>
      </c>
      <c r="G10" s="370">
        <f>SUM(P__!Y33)</f>
        <v>98.165137614678898</v>
      </c>
      <c r="H10" s="215">
        <f>SUM(P__!Z33)</f>
        <v>88.059701492537314</v>
      </c>
      <c r="I10" s="215">
        <f>SUM(P__!AA33)</f>
        <v>97.5</v>
      </c>
      <c r="J10" s="219" t="s">
        <v>143</v>
      </c>
      <c r="K10" s="19">
        <f>RANK(G10,$G$4:$G$25,1)+COUNTIF($G$4:G10,G10)-1</f>
        <v>14</v>
      </c>
      <c r="L10" s="18" t="str">
        <f>INDEX(B4:I25,MATCH(7,K4:K25,0),1)</f>
        <v>Nisko</v>
      </c>
      <c r="M10" s="6">
        <f>INDEX(B4:I25,MATCH(7,K4:K25,0),6)</f>
        <v>92.20779220779221</v>
      </c>
    </row>
    <row r="11" spans="1:13" x14ac:dyDescent="0.25">
      <c r="A11" s="16">
        <v>8</v>
      </c>
      <c r="B11" s="7" t="s">
        <v>80</v>
      </c>
      <c r="C11" s="6">
        <f>SUM(P__!U35)</f>
        <v>91.017964071856284</v>
      </c>
      <c r="D11" s="6">
        <f>SUM(P__!V35)</f>
        <v>39.784946236559136</v>
      </c>
      <c r="E11" s="6">
        <f>SUM(P__!W35)</f>
        <v>93.181818181818173</v>
      </c>
      <c r="F11" s="6">
        <f>SUMIF(P__!X35,"&gt;1",(P__!X35))</f>
        <v>94.73684210526315</v>
      </c>
      <c r="G11" s="369">
        <f>SUM(P__!Y35)</f>
        <v>95.689655172413794</v>
      </c>
      <c r="H11" s="6">
        <f>SUM(P__!Z35)</f>
        <v>80</v>
      </c>
      <c r="I11" s="6">
        <f>SUM(P__!AA35)</f>
        <v>97.142857142857139</v>
      </c>
      <c r="J11" s="7">
        <v>1808</v>
      </c>
      <c r="K11" s="19">
        <f>RANK(G11,$G$4:$G$25,1)+COUNTIF($G$4:G11,G11)-1</f>
        <v>10</v>
      </c>
      <c r="L11" s="220" t="str">
        <f>INDEX(B4:I25,MATCH(8,K4:K25,0),1)</f>
        <v>Ustrzyki Dolne</v>
      </c>
      <c r="M11" s="216">
        <f>INDEX(B4:I25,MATCH(8,K4:K25,0),6)</f>
        <v>94.827586206896555</v>
      </c>
    </row>
    <row r="12" spans="1:13" x14ac:dyDescent="0.25">
      <c r="A12" s="16">
        <v>9</v>
      </c>
      <c r="B12" s="7" t="s">
        <v>81</v>
      </c>
      <c r="C12" s="6">
        <f>SUM(P__!U36)</f>
        <v>86.075949367088612</v>
      </c>
      <c r="D12" s="6">
        <f>SUM(P__!V36)</f>
        <v>50</v>
      </c>
      <c r="E12" s="6">
        <f>SUM(P__!W36)</f>
        <v>98.101265822784811</v>
      </c>
      <c r="F12" s="6">
        <f>SUMIF(P__!X36,"&gt;1",(P__!X36))</f>
        <v>100</v>
      </c>
      <c r="G12" s="369">
        <f>SUM(P__!Y36)</f>
        <v>84.05797101449275</v>
      </c>
      <c r="H12" s="431">
        <f>SUMIF(P__!Z36,"&gt;1",(P__!Z36))</f>
        <v>0</v>
      </c>
      <c r="I12" s="6">
        <f>SUM(P__!AA36)</f>
        <v>89.583333333333343</v>
      </c>
      <c r="J12" s="7">
        <v>1809</v>
      </c>
      <c r="K12" s="19">
        <f>RANK(G12,$G$4:$G$25,1)+COUNTIF($G$4:G12,G12)-1</f>
        <v>2</v>
      </c>
      <c r="L12" s="18" t="str">
        <f>INDEX(B4:I25,MATCH(9,K4:K25,0),1)</f>
        <v>Podkarpacie</v>
      </c>
      <c r="M12" s="6">
        <f>INDEX(B4:I25,MATCH(9,K4:K25,0),6)</f>
        <v>95.395869191049911</v>
      </c>
    </row>
    <row r="13" spans="1:13" x14ac:dyDescent="0.25">
      <c r="A13" s="16">
        <v>10</v>
      </c>
      <c r="B13" s="7" t="s">
        <v>82</v>
      </c>
      <c r="C13" s="6">
        <f>SUM(P__!U37)</f>
        <v>86.5625</v>
      </c>
      <c r="D13" s="6">
        <f>SUM(P__!V37)</f>
        <v>24.731182795698924</v>
      </c>
      <c r="E13" s="6">
        <f>SUM(P__!W37)</f>
        <v>99.350649350649363</v>
      </c>
      <c r="F13" s="6">
        <f>SUMIF(P__!X37,"&gt;1",(P__!X37))</f>
        <v>97.61904761904762</v>
      </c>
      <c r="G13" s="369">
        <f>SUM(P__!Y37)</f>
        <v>100</v>
      </c>
      <c r="H13" s="6">
        <f>SUM(P__!Z37)</f>
        <v>100</v>
      </c>
      <c r="I13" s="6">
        <f>SUM(P__!AA37)</f>
        <v>95.918367346938766</v>
      </c>
      <c r="J13" s="7">
        <v>1810</v>
      </c>
      <c r="K13" s="19">
        <f>RANK(G13,$G$4:$G$25,1)+COUNTIF($G$4:G13,G13)-1</f>
        <v>20</v>
      </c>
      <c r="L13" s="18" t="str">
        <f>INDEX(B4:I25,MATCH(10,K4:K25,0),1)</f>
        <v>Leżajsk</v>
      </c>
      <c r="M13" s="6">
        <f>INDEX(B4:I25,MATCH(10,K4:K25,0),6)</f>
        <v>95.689655172413794</v>
      </c>
    </row>
    <row r="14" spans="1:13" x14ac:dyDescent="0.25">
      <c r="A14" s="16">
        <v>11</v>
      </c>
      <c r="B14" s="7" t="s">
        <v>83</v>
      </c>
      <c r="C14" s="6">
        <f>SUM(P__!U38)</f>
        <v>87.341772151898738</v>
      </c>
      <c r="D14" s="6">
        <f>SUM(P__!V38)</f>
        <v>69.230769230769226</v>
      </c>
      <c r="E14" s="6">
        <f>SUM(P__!W38)</f>
        <v>84.063745019920319</v>
      </c>
      <c r="F14" s="6">
        <f>SUMIF(P__!X38,"&gt;1",(P__!X38))</f>
        <v>98.461538461538467</v>
      </c>
      <c r="G14" s="369">
        <f>SUM(P__!Y38)</f>
        <v>98.165137614678898</v>
      </c>
      <c r="H14" s="6">
        <f>SUM(P__!Z38)</f>
        <v>86.666666666666671</v>
      </c>
      <c r="I14" s="6">
        <f>SUM(P__!AA38)</f>
        <v>100</v>
      </c>
      <c r="J14" s="7">
        <v>1811</v>
      </c>
      <c r="K14" s="19">
        <f>RANK(G14,$G$4:$G$25,1)+COUNTIF($G$4:G14,G14)-1</f>
        <v>15</v>
      </c>
      <c r="L14" s="154" t="str">
        <f>INDEX(B4:I25,MATCH(11,K4:K25,0),1)</f>
        <v>Strzyżów</v>
      </c>
      <c r="M14" s="22">
        <f>INDEX(B4:I25,MATCH(11,K4:K25,0),6)</f>
        <v>96.590909090909093</v>
      </c>
    </row>
    <row r="15" spans="1:13" x14ac:dyDescent="0.25">
      <c r="A15" s="16">
        <v>12</v>
      </c>
      <c r="B15" s="7" t="s">
        <v>84</v>
      </c>
      <c r="C15" s="6">
        <f>SUM(P__!U39)</f>
        <v>75.786924939467312</v>
      </c>
      <c r="D15" s="6">
        <f>SUM(P__!V39)</f>
        <v>37.681159420289859</v>
      </c>
      <c r="E15" s="6">
        <f>SUM(P__!W39)</f>
        <v>86.797752808988761</v>
      </c>
      <c r="F15" s="6">
        <f>SUMIF(P__!X39,"&gt;1",(P__!X39))</f>
        <v>72.222222222222214</v>
      </c>
      <c r="G15" s="369">
        <f>SUM(P__!Y39)</f>
        <v>92.20779220779221</v>
      </c>
      <c r="H15" s="6">
        <f>SUM(P__!Z39)</f>
        <v>81.395348837209298</v>
      </c>
      <c r="I15" s="6">
        <f>SUM(P__!AA39)</f>
        <v>88.235294117647058</v>
      </c>
      <c r="J15" s="7">
        <v>1812</v>
      </c>
      <c r="K15" s="19">
        <f>RANK(G15,$G$4:$G$25,1)+COUNTIF($G$4:G15,G15)-1</f>
        <v>7</v>
      </c>
      <c r="L15" s="18" t="str">
        <f>INDEX(B4:I25,MATCH(12,K4:K25,0),1)</f>
        <v>Rzeszów</v>
      </c>
      <c r="M15" s="6">
        <f>INDEX(B4:I25,MATCH(12,K4:K25,0),6)</f>
        <v>97.206703910614522</v>
      </c>
    </row>
    <row r="16" spans="1:13" x14ac:dyDescent="0.25">
      <c r="A16" s="16">
        <v>13</v>
      </c>
      <c r="B16" s="7" t="s">
        <v>85</v>
      </c>
      <c r="C16" s="6">
        <f>SUM(P__!U40)</f>
        <v>78.01418439716312</v>
      </c>
      <c r="D16" s="6">
        <f>SUM(P__!V40)</f>
        <v>56.862745098039213</v>
      </c>
      <c r="E16" s="6">
        <f>SUM(P__!W40)</f>
        <v>89.562289562289564</v>
      </c>
      <c r="F16" s="6">
        <f>SUMIF(P__!X40,"&gt;1",(P__!X40))</f>
        <v>88.535031847133766</v>
      </c>
      <c r="G16" s="369">
        <f>SUM(P__!Y40)</f>
        <v>91.025641025641022</v>
      </c>
      <c r="H16" s="6">
        <f>SUM(P__!Z40)</f>
        <v>76.785714285714292</v>
      </c>
      <c r="I16" s="6">
        <f>SUM(P__!AA40)</f>
        <v>82.142857142857139</v>
      </c>
      <c r="J16" s="7">
        <v>1814</v>
      </c>
      <c r="K16" s="20">
        <f>RANK(G16,$G$4:$G$25,1)+COUNTIF($G$4:G16,G16)-1</f>
        <v>5</v>
      </c>
      <c r="L16" s="21" t="str">
        <f>INDEX(B4:I25,MATCH(13,K4:K25,0),1)</f>
        <v>Jasło</v>
      </c>
      <c r="M16" s="6">
        <f>INDEX(B4:I25,MATCH(13,K4:K25,0),6)</f>
        <v>97.883597883597886</v>
      </c>
    </row>
    <row r="17" spans="1:13" x14ac:dyDescent="0.25">
      <c r="A17" s="16">
        <v>14</v>
      </c>
      <c r="B17" s="7" t="s">
        <v>86</v>
      </c>
      <c r="C17" s="6">
        <f>SUM(P__!U41)</f>
        <v>80.392156862745097</v>
      </c>
      <c r="D17" s="6">
        <f>SUM(P__!V41)</f>
        <v>77.272727272727266</v>
      </c>
      <c r="E17" s="6">
        <f>SUM(P__!W41)</f>
        <v>81.818181818181827</v>
      </c>
      <c r="F17" s="6">
        <f>SUMIF(P__!X41,"&gt;1",(P__!X41))</f>
        <v>92.957746478873233</v>
      </c>
      <c r="G17" s="369">
        <f>SUM(P__!Y41)</f>
        <v>92.125984251968504</v>
      </c>
      <c r="H17" s="6">
        <f>SUM(P__!Z41)</f>
        <v>82.022471910112358</v>
      </c>
      <c r="I17" s="6">
        <f>SUM(P__!AA41)</f>
        <v>85.714285714285708</v>
      </c>
      <c r="J17" s="7">
        <v>1815</v>
      </c>
      <c r="K17" s="20">
        <f>RANK(G17,$G$4:$G$25,1)+COUNTIF($G$4:G17,G17)-1</f>
        <v>6</v>
      </c>
      <c r="L17" s="21" t="str">
        <f>INDEX(B4:I25,MATCH(14,K4:K25,0),1)</f>
        <v>Krosno</v>
      </c>
      <c r="M17" s="6">
        <f>INDEX(B4:I25,MATCH(14,K4:K25,0),6)</f>
        <v>98.165137614678898</v>
      </c>
    </row>
    <row r="18" spans="1:13" x14ac:dyDescent="0.25">
      <c r="A18" s="218">
        <v>15</v>
      </c>
      <c r="B18" s="219" t="s">
        <v>87</v>
      </c>
      <c r="C18" s="215">
        <f>SUM(P__!U43)</f>
        <v>83.909574468085097</v>
      </c>
      <c r="D18" s="215">
        <f>SUM(P__!V43)</f>
        <v>55.313351498637594</v>
      </c>
      <c r="E18" s="215">
        <f>SUM(P__!W43)</f>
        <v>90.099009900990097</v>
      </c>
      <c r="F18" s="215">
        <f>SUMIF(P__!X43,"&gt;1",(P__!X43))</f>
        <v>82.051282051282044</v>
      </c>
      <c r="G18" s="370">
        <f>SUM(P__!Y43)</f>
        <v>97.206703910614522</v>
      </c>
      <c r="H18" s="215">
        <f>SUM(P__!Z43)</f>
        <v>91.803278688524586</v>
      </c>
      <c r="I18" s="215">
        <f>SUM(P__!AA43)</f>
        <v>91.428571428571431</v>
      </c>
      <c r="J18" s="219" t="s">
        <v>145</v>
      </c>
      <c r="K18" s="19">
        <f>RANK(G18,$G$4:$G$25,1)+COUNTIF($G$4:G18,G18)-1</f>
        <v>12</v>
      </c>
      <c r="L18" s="7" t="str">
        <f>INDEX(B4:I25,MATCH(15,K4:K25,0),1)</f>
        <v>Mielec</v>
      </c>
      <c r="M18" s="6">
        <f>INDEX(B4:I25,MATCH(15,K4:K25,0),6)</f>
        <v>98.165137614678898</v>
      </c>
    </row>
    <row r="19" spans="1:13" x14ac:dyDescent="0.25">
      <c r="A19" s="16">
        <v>16</v>
      </c>
      <c r="B19" s="7" t="s">
        <v>88</v>
      </c>
      <c r="C19" s="6">
        <f>SUM(P__!U44)</f>
        <v>85.561497326203209</v>
      </c>
      <c r="D19" s="6">
        <f>SUM(P__!V44)</f>
        <v>55.833333333333336</v>
      </c>
      <c r="E19" s="6">
        <f>SUM(P__!W44)</f>
        <v>93.75</v>
      </c>
      <c r="F19" s="6">
        <f>SUMIF(P__!X44,"&gt;1",(P__!X44))</f>
        <v>100</v>
      </c>
      <c r="G19" s="369">
        <f>SUM(P__!Y44)</f>
        <v>100</v>
      </c>
      <c r="H19" s="6">
        <f>SUM(P__!Z44)</f>
        <v>94.230769230769226</v>
      </c>
      <c r="I19" s="6">
        <f>SUM(P__!AA44)</f>
        <v>93.103448275862064</v>
      </c>
      <c r="J19" s="7">
        <v>1817</v>
      </c>
      <c r="K19" s="19">
        <f>RANK(G19,$G$4:$G$25,1)+COUNTIF($G$4:G19,G19)-1</f>
        <v>21</v>
      </c>
      <c r="L19" s="7" t="str">
        <f>INDEX(B4:I25,MATCH(16,K4:K25,0),1)</f>
        <v>Kolbuszowa</v>
      </c>
      <c r="M19" s="6">
        <f>INDEX(B4:I25,MATCH(16,K4:K25,0),6)</f>
        <v>98.387096774193552</v>
      </c>
    </row>
    <row r="20" spans="1:13" x14ac:dyDescent="0.25">
      <c r="A20" s="16">
        <v>17</v>
      </c>
      <c r="B20" s="7" t="s">
        <v>89</v>
      </c>
      <c r="C20" s="6">
        <f>SUM(P__!U45)</f>
        <v>82.392026578073086</v>
      </c>
      <c r="D20" s="6">
        <f>SUM(P__!V45)</f>
        <v>68.387096774193552</v>
      </c>
      <c r="E20" s="6">
        <f>SUM(P__!W45)</f>
        <v>99.236641221374043</v>
      </c>
      <c r="F20" s="6">
        <f>SUMIF(P__!X45,"&gt;1",(P__!X45))</f>
        <v>92.592592592592595</v>
      </c>
      <c r="G20" s="369">
        <f>SUM(P__!Y45)</f>
        <v>88.659793814432987</v>
      </c>
      <c r="H20" s="6">
        <f>SUM(P__!Z45)</f>
        <v>96.296296296296291</v>
      </c>
      <c r="I20" s="6">
        <f>SUM(P__!AA45)</f>
        <v>94.444444444444443</v>
      </c>
      <c r="J20" s="7">
        <v>1818</v>
      </c>
      <c r="K20" s="19">
        <f>RANK(G20,$G$4:$G$25,1)+COUNTIF($G$4:G20,G20)-1</f>
        <v>3</v>
      </c>
      <c r="L20" s="7" t="str">
        <f>INDEX(B4:I25,MATCH(17,K4:K25,0),1)</f>
        <v>Brzozów</v>
      </c>
      <c r="M20" s="6">
        <f>INDEX(B4:I25,MATCH(17,K4:K25,0),6)</f>
        <v>99.090909090909093</v>
      </c>
    </row>
    <row r="21" spans="1:13" x14ac:dyDescent="0.25">
      <c r="A21" s="16">
        <v>18</v>
      </c>
      <c r="B21" s="7" t="s">
        <v>90</v>
      </c>
      <c r="C21" s="6">
        <f>SUM(P__!U46)</f>
        <v>88.103448275862078</v>
      </c>
      <c r="D21" s="6">
        <f>SUM(P__!V46)</f>
        <v>57.692307692307686</v>
      </c>
      <c r="E21" s="6">
        <f>SUM(P__!W46)</f>
        <v>96.491228070175438</v>
      </c>
      <c r="F21" s="6">
        <f>SUMIF(P__!X46,"&gt;1",(P__!X46))</f>
        <v>100</v>
      </c>
      <c r="G21" s="369">
        <f>SUM(P__!Y46)</f>
        <v>96.590909090909093</v>
      </c>
      <c r="H21" s="6">
        <f>SUM(P__!Z46)</f>
        <v>91.379310344827587</v>
      </c>
      <c r="I21" s="6">
        <f>SUM(P__!AA46)</f>
        <v>100</v>
      </c>
      <c r="J21" s="7">
        <v>1819</v>
      </c>
      <c r="K21" s="19">
        <f>RANK(G21,$G$4:$G$25,1)+COUNTIF($G$4:G21,G21)-1</f>
        <v>11</v>
      </c>
      <c r="L21" s="7" t="str">
        <f>INDEX(B4:I25,MATCH(18,K4:K25,0),1)</f>
        <v>Dębica</v>
      </c>
      <c r="M21" s="6">
        <f>INDEX(B4:I25,MATCH(18,K4:K25,0),6)</f>
        <v>100</v>
      </c>
    </row>
    <row r="22" spans="1:13" x14ac:dyDescent="0.25">
      <c r="A22" s="218">
        <v>19</v>
      </c>
      <c r="B22" s="219" t="s">
        <v>91</v>
      </c>
      <c r="C22" s="215">
        <f>SUM(P__!U47)</f>
        <v>91.21621621621621</v>
      </c>
      <c r="D22" s="215">
        <f>SUM(P__!V47)</f>
        <v>37.142857142857146</v>
      </c>
      <c r="E22" s="215">
        <f>SUM(P__!W47)</f>
        <v>96.385542168674704</v>
      </c>
      <c r="F22" s="215">
        <f>SUMIF(P__!X47,"&gt;1",(P__!X47))</f>
        <v>97.132616487455195</v>
      </c>
      <c r="G22" s="370">
        <f>SUM(P__!Y47)</f>
        <v>100</v>
      </c>
      <c r="H22" s="215">
        <f>SUM(P__!Z47)</f>
        <v>100</v>
      </c>
      <c r="I22" s="215">
        <f>SUM(P__!AA47)</f>
        <v>91.304347826086953</v>
      </c>
      <c r="J22" s="219" t="s">
        <v>146</v>
      </c>
      <c r="K22" s="19">
        <f>RANK(G22,$G$4:$G$25,1)+COUNTIF($G$4:G22,G22)-1</f>
        <v>22</v>
      </c>
      <c r="L22" s="7" t="str">
        <f>INDEX(B4:I25,MATCH(19,K4:K25,0),1)</f>
        <v>Jarosław</v>
      </c>
      <c r="M22" s="6">
        <f>INDEX(B4:I25,MATCH(19,K4:K25,0),6)</f>
        <v>100</v>
      </c>
    </row>
    <row r="23" spans="1:13" x14ac:dyDescent="0.25">
      <c r="A23" s="16">
        <v>20</v>
      </c>
      <c r="B23" s="7" t="s">
        <v>92</v>
      </c>
      <c r="C23" s="6">
        <f>SUM(P__!U48)</f>
        <v>83.185840707964601</v>
      </c>
      <c r="D23" s="6">
        <f>SUM(P__!V48)</f>
        <v>90</v>
      </c>
      <c r="E23" s="6">
        <f>SUM(P__!W48)</f>
        <v>94.594594594594597</v>
      </c>
      <c r="F23" s="6">
        <f>SUMIF(P__!X48,"&gt;1",(P__!X48))</f>
        <v>83.333333333333343</v>
      </c>
      <c r="G23" s="369">
        <f>SUM(P__!Y48)</f>
        <v>82.857142857142861</v>
      </c>
      <c r="H23" s="6">
        <f>SUM(P__!Z48)</f>
        <v>100</v>
      </c>
      <c r="I23" s="6">
        <f>SUM(P__!AA48)</f>
        <v>89.743589743589752</v>
      </c>
      <c r="J23" s="7">
        <v>1821</v>
      </c>
      <c r="K23" s="19">
        <f>RANK(G23,$G$4:$G$25,1)+COUNTIF($G$4:G23,G23)-1</f>
        <v>1</v>
      </c>
      <c r="L23" s="7" t="str">
        <f>INDEX(B4:I25,MATCH(20,K4:K25,0),1)</f>
        <v>Łańcut</v>
      </c>
      <c r="M23" s="6">
        <f>INDEX(B4:I25,MATCH(20,K4:K25,0),6)</f>
        <v>100</v>
      </c>
    </row>
    <row r="24" spans="1:13" x14ac:dyDescent="0.25">
      <c r="A24" s="218">
        <v>21</v>
      </c>
      <c r="B24" s="219" t="s">
        <v>97</v>
      </c>
      <c r="C24" s="215">
        <f>SUM(P__!U49)</f>
        <v>85.784313725490193</v>
      </c>
      <c r="D24" s="215">
        <f>SUM(P__!V49)</f>
        <v>44.776119402985074</v>
      </c>
      <c r="E24" s="215">
        <f>SUM(P__!W49)</f>
        <v>97.628458498023718</v>
      </c>
      <c r="F24" s="215">
        <f>SUMIF(P__!X49,"&gt;1",(P__!X49))</f>
        <v>94.85294117647058</v>
      </c>
      <c r="G24" s="370">
        <f>SUM(P__!Y49)</f>
        <v>89.65517241379311</v>
      </c>
      <c r="H24" s="215">
        <f>SUM(P__!Z49)</f>
        <v>81.818181818181827</v>
      </c>
      <c r="I24" s="215">
        <f>SUM(P__!AA49)</f>
        <v>91.304347826086953</v>
      </c>
      <c r="J24" s="219" t="s">
        <v>144</v>
      </c>
      <c r="K24" s="19">
        <f>RANK(G24,$G$4:$G$25,1)+COUNTIF($G$4:G24,G24)-1</f>
        <v>4</v>
      </c>
      <c r="L24" s="7" t="str">
        <f>INDEX(B4:I25,MATCH(21,K4:K25,0),1)</f>
        <v>Sanok</v>
      </c>
      <c r="M24" s="6">
        <f>INDEX(B4:I25,MATCH(21,K4:K25,0),6)</f>
        <v>100</v>
      </c>
    </row>
    <row r="25" spans="1:13" x14ac:dyDescent="0.25">
      <c r="A25" s="16">
        <v>22</v>
      </c>
      <c r="B25" s="18" t="s">
        <v>100</v>
      </c>
      <c r="C25" s="6">
        <f>SUM(P__!U50)</f>
        <v>85.071629401526309</v>
      </c>
      <c r="D25" s="6">
        <f>SUM(P__!V50)</f>
        <v>52.031978680879412</v>
      </c>
      <c r="E25" s="6">
        <f>SUM(P__!W50)</f>
        <v>93.357320786050366</v>
      </c>
      <c r="F25" s="6">
        <f>SUMIF(P__!X50,"&gt;1",(P__!X50))</f>
        <v>94.23585404547859</v>
      </c>
      <c r="G25" s="369">
        <f>SUM(P__!Y50)</f>
        <v>95.395869191049911</v>
      </c>
      <c r="H25" s="6">
        <f>SUM(P__!Z50)</f>
        <v>90.28831562974203</v>
      </c>
      <c r="I25" s="6">
        <f>SUM(P__!AA50)</f>
        <v>91.208791208791212</v>
      </c>
      <c r="J25" s="7">
        <v>1800</v>
      </c>
      <c r="K25" s="19">
        <f>RANK(G25,$G$4:$G$25,1)+COUNTIF($G$4:G25,G25)-1</f>
        <v>9</v>
      </c>
      <c r="L25" s="7" t="str">
        <f>INDEX(B4:I25,MATCH(22,K4:K25,0),1)</f>
        <v>Tarnobrzeg</v>
      </c>
      <c r="M25" s="6">
        <f>INDEX(B4:I25,MATCH(22,K4:K25,0),6)</f>
        <v>100</v>
      </c>
    </row>
    <row r="26" spans="1:13" x14ac:dyDescent="0.25">
      <c r="B26" s="10"/>
      <c r="C26" s="10">
        <v>1</v>
      </c>
      <c r="D26" s="10">
        <v>2</v>
      </c>
      <c r="E26" s="10">
        <v>3</v>
      </c>
      <c r="F26" s="10">
        <v>4</v>
      </c>
      <c r="G26" s="10">
        <v>5</v>
      </c>
      <c r="H26" s="10">
        <v>6</v>
      </c>
      <c r="I26" s="10">
        <v>7</v>
      </c>
    </row>
    <row r="27" spans="1:13" x14ac:dyDescent="0.25">
      <c r="A27" s="16">
        <v>1</v>
      </c>
      <c r="B27" s="17" t="s">
        <v>1</v>
      </c>
      <c r="C27" s="15" t="s">
        <v>152</v>
      </c>
    </row>
    <row r="28" spans="1:13" x14ac:dyDescent="0.25">
      <c r="A28" s="16">
        <v>2</v>
      </c>
      <c r="B28" s="17" t="s">
        <v>2</v>
      </c>
      <c r="C28" s="15" t="s">
        <v>152</v>
      </c>
      <c r="D28" s="30"/>
      <c r="E28" s="30"/>
      <c r="F28" s="30"/>
      <c r="G28" s="30"/>
      <c r="H28" s="30"/>
      <c r="I28" s="30"/>
      <c r="J28" s="30"/>
      <c r="K28" s="15"/>
    </row>
    <row r="29" spans="1:13" x14ac:dyDescent="0.25">
      <c r="A29" s="16">
        <v>3</v>
      </c>
      <c r="B29" s="17" t="s">
        <v>3</v>
      </c>
      <c r="C29" s="15" t="s">
        <v>152</v>
      </c>
    </row>
    <row r="30" spans="1:13" x14ac:dyDescent="0.25">
      <c r="A30" s="16">
        <v>4</v>
      </c>
      <c r="B30" s="17" t="s">
        <v>4</v>
      </c>
      <c r="C30" s="15" t="s">
        <v>152</v>
      </c>
    </row>
    <row r="31" spans="1:13" x14ac:dyDescent="0.25">
      <c r="A31" s="348">
        <v>5</v>
      </c>
      <c r="B31" s="368" t="s">
        <v>349</v>
      </c>
      <c r="C31" s="15" t="s">
        <v>152</v>
      </c>
    </row>
    <row r="32" spans="1:13" x14ac:dyDescent="0.25">
      <c r="A32" s="16">
        <v>6</v>
      </c>
      <c r="B32" s="17" t="s">
        <v>17</v>
      </c>
      <c r="C32" s="15" t="s">
        <v>152</v>
      </c>
    </row>
    <row r="33" spans="1:3" x14ac:dyDescent="0.25">
      <c r="A33" s="16">
        <v>7</v>
      </c>
      <c r="B33" s="17" t="s">
        <v>11</v>
      </c>
      <c r="C33" s="15" t="s">
        <v>152</v>
      </c>
    </row>
  </sheetData>
  <sortState xmlns:xlrd2="http://schemas.microsoft.com/office/spreadsheetml/2017/richdata2" ref="A4:H25">
    <sortCondition ref="G4:G25"/>
  </sortState>
  <pageMargins left="0.7" right="0.7" top="0.75" bottom="0.75" header="0.3" footer="0.3"/>
  <pageSetup paperSize="9" scale="56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usz16">
    <tabColor rgb="FFFF9900"/>
    <pageSetUpPr fitToPage="1"/>
  </sheetPr>
  <dimension ref="A1:M33"/>
  <sheetViews>
    <sheetView zoomScale="90" zoomScaleNormal="90" workbookViewId="0"/>
  </sheetViews>
  <sheetFormatPr defaultRowHeight="15" x14ac:dyDescent="0.25"/>
  <cols>
    <col min="1" max="1" width="5.140625" style="15" customWidth="1"/>
    <col min="2" max="2" width="13.42578125" style="15" customWidth="1"/>
    <col min="3" max="3" width="8.28515625" style="15" customWidth="1"/>
    <col min="4" max="4" width="9.140625" style="15"/>
    <col min="5" max="5" width="11" style="15" customWidth="1"/>
    <col min="6" max="6" width="10.5703125" style="15" customWidth="1"/>
    <col min="7" max="7" width="10" style="15" customWidth="1"/>
    <col min="8" max="8" width="10.140625" style="15" customWidth="1"/>
    <col min="9" max="9" width="9.5703125" style="15" customWidth="1"/>
    <col min="10" max="10" width="11.28515625" style="10" customWidth="1"/>
    <col min="11" max="11" width="6.7109375" style="10" customWidth="1"/>
    <col min="12" max="12" width="14.42578125" style="10" customWidth="1"/>
    <col min="13" max="13" width="13.85546875" style="15" customWidth="1"/>
    <col min="14" max="16384" width="9.140625" style="15"/>
  </cols>
  <sheetData>
    <row r="1" spans="1:13" x14ac:dyDescent="0.25">
      <c r="A1" s="15" t="s">
        <v>142</v>
      </c>
    </row>
    <row r="2" spans="1:13" x14ac:dyDescent="0.25">
      <c r="A2" s="15" t="s">
        <v>325</v>
      </c>
    </row>
    <row r="3" spans="1:13" x14ac:dyDescent="0.25">
      <c r="A3" s="348">
        <f>SUM(P__!K26)</f>
        <v>2021</v>
      </c>
      <c r="B3" s="368" t="s">
        <v>101</v>
      </c>
      <c r="C3" s="348" t="s">
        <v>136</v>
      </c>
      <c r="D3" s="348" t="s">
        <v>135</v>
      </c>
      <c r="E3" s="348" t="s">
        <v>149</v>
      </c>
      <c r="F3" s="348" t="s">
        <v>139</v>
      </c>
      <c r="G3" s="348" t="s">
        <v>150</v>
      </c>
      <c r="H3" s="348" t="s">
        <v>148</v>
      </c>
      <c r="I3" s="348" t="s">
        <v>299</v>
      </c>
      <c r="J3" s="16"/>
      <c r="K3" s="16" t="s">
        <v>71</v>
      </c>
      <c r="L3" s="16" t="s">
        <v>151</v>
      </c>
      <c r="M3" s="43" t="s">
        <v>147</v>
      </c>
    </row>
    <row r="4" spans="1:13" x14ac:dyDescent="0.25">
      <c r="A4" s="16">
        <v>1</v>
      </c>
      <c r="B4" s="7" t="s">
        <v>73</v>
      </c>
      <c r="C4" s="6">
        <f>SUM(P__!U27)</f>
        <v>85.714285714285708</v>
      </c>
      <c r="D4" s="6">
        <f>SUM(P__!V27)</f>
        <v>40</v>
      </c>
      <c r="E4" s="6">
        <f>SUM(P__!W27)</f>
        <v>97.087378640776706</v>
      </c>
      <c r="F4" s="6">
        <f>SUMIF(P__!X27,"&gt;1",(P__!X27))</f>
        <v>100</v>
      </c>
      <c r="G4" s="6">
        <f>SUMIF(P__!Y27,"&gt;1",(P__!Y27))</f>
        <v>94.827586206896555</v>
      </c>
      <c r="H4" s="369">
        <f>SUMIF(P__!Z27,"&gt;1",(P__!Z27))</f>
        <v>87.5</v>
      </c>
      <c r="I4" s="6">
        <f>SUMIF(P__!AA27,"&gt;1",(P__!AA27))</f>
        <v>87.179487179487182</v>
      </c>
      <c r="J4" s="7">
        <v>1801</v>
      </c>
      <c r="K4" s="19">
        <f>RANK(H4,$H$4:$H$25,1)+COUNTIF($H$4:H4,H4)-1</f>
        <v>9</v>
      </c>
      <c r="L4" s="7" t="str">
        <f>INDEX(B4:I25,MATCH(1,K4:K25,0),1)</f>
        <v>Lubaczów</v>
      </c>
      <c r="M4" s="6">
        <f>INDEX(B4:I25,MATCH(1,K4:K25,0),7)</f>
        <v>0</v>
      </c>
    </row>
    <row r="5" spans="1:13" x14ac:dyDescent="0.25">
      <c r="A5" s="16">
        <v>2</v>
      </c>
      <c r="B5" s="7" t="s">
        <v>74</v>
      </c>
      <c r="C5" s="6">
        <f>SUM(P__!U28)</f>
        <v>85.618729096989966</v>
      </c>
      <c r="D5" s="6">
        <f>SUM(P__!V28)</f>
        <v>59.259259259259252</v>
      </c>
      <c r="E5" s="6">
        <f>SUM(P__!W28)</f>
        <v>96.428571428571431</v>
      </c>
      <c r="F5" s="6">
        <f>SUMIF(P__!X28,"&gt;1",(P__!X28))</f>
        <v>95.161290322580655</v>
      </c>
      <c r="G5" s="6">
        <f>SUM(P__!Y28)</f>
        <v>99.090909090909093</v>
      </c>
      <c r="H5" s="369">
        <f>SUM(P__!Z28)</f>
        <v>100</v>
      </c>
      <c r="I5" s="6">
        <f>SUM(P__!AA28)</f>
        <v>92.10526315789474</v>
      </c>
      <c r="J5" s="7">
        <v>1802</v>
      </c>
      <c r="K5" s="19">
        <f>RANK(H5,$H$4:$H$25,1)+COUNTIF($H$4:H5,H5)-1</f>
        <v>19</v>
      </c>
      <c r="L5" s="18" t="str">
        <f>INDEX(B4:I25,MATCH(2,K4:K25,0),1)</f>
        <v>Przeworsk</v>
      </c>
      <c r="M5" s="6">
        <f>INDEX(B4:I25,MATCH(2,K4:K25,0),7)</f>
        <v>76.785714285714292</v>
      </c>
    </row>
    <row r="6" spans="1:13" x14ac:dyDescent="0.25">
      <c r="A6" s="16">
        <v>3</v>
      </c>
      <c r="B6" s="7" t="s">
        <v>75</v>
      </c>
      <c r="C6" s="6">
        <f>SUM(P__!U29)</f>
        <v>78.968253968253961</v>
      </c>
      <c r="D6" s="6">
        <f>SUM(P__!V29)</f>
        <v>52.631578947368418</v>
      </c>
      <c r="E6" s="6">
        <f>SUM(P__!W29)</f>
        <v>98.75</v>
      </c>
      <c r="F6" s="6">
        <f>SUMIF(P__!X29,"&gt;1",(P__!X29))</f>
        <v>75</v>
      </c>
      <c r="G6" s="6">
        <f>SUM(P__!Y29)</f>
        <v>100</v>
      </c>
      <c r="H6" s="369">
        <f>SUM(P__!Z29)</f>
        <v>97.183098591549296</v>
      </c>
      <c r="I6" s="6">
        <f>SUM(P__!AA29)</f>
        <v>91.428571428571431</v>
      </c>
      <c r="J6" s="7">
        <v>1803</v>
      </c>
      <c r="K6" s="19">
        <f>RANK(H6,$H$4:$H$25,1)+COUNTIF($H$4:H6,H6)-1</f>
        <v>17</v>
      </c>
      <c r="L6" s="18" t="str">
        <f>INDEX(B4:I25,MATCH(3,K4:K25,0),1)</f>
        <v>Leżajsk</v>
      </c>
      <c r="M6" s="6">
        <f>INDEX(B4:I25,MATCH(3,K4:K25,0),7)</f>
        <v>80</v>
      </c>
    </row>
    <row r="7" spans="1:13" x14ac:dyDescent="0.25">
      <c r="A7" s="16">
        <v>4</v>
      </c>
      <c r="B7" s="7" t="s">
        <v>76</v>
      </c>
      <c r="C7" s="6">
        <f>SUM(P__!U30)</f>
        <v>86.52849740932642</v>
      </c>
      <c r="D7" s="6">
        <f>SUM(P__!V30)</f>
        <v>66.666666666666657</v>
      </c>
      <c r="E7" s="6">
        <f>SUM(P__!W30)</f>
        <v>97.407407407407405</v>
      </c>
      <c r="F7" s="6">
        <f>SUMIF(P__!X30,"&gt;1",(P__!X30))</f>
        <v>99.625468164794</v>
      </c>
      <c r="G7" s="6">
        <f>SUM(P__!Y30)</f>
        <v>100</v>
      </c>
      <c r="H7" s="369">
        <f>SUM(P__!Z30)</f>
        <v>99.107142857142861</v>
      </c>
      <c r="I7" s="6">
        <f>SUM(P__!AA30)</f>
        <v>80.701754385964904</v>
      </c>
      <c r="J7" s="7">
        <v>1804</v>
      </c>
      <c r="K7" s="19">
        <f>RANK(H7,$H$4:$H$25,1)+COUNTIF($H$4:H7,H7)-1</f>
        <v>18</v>
      </c>
      <c r="L7" s="18" t="str">
        <f>INDEX(B4:I25,MATCH(4,K4:K25,0),1)</f>
        <v>Nisko</v>
      </c>
      <c r="M7" s="6">
        <f>INDEX(B4:I25,MATCH(4,K4:K25,0),7)</f>
        <v>81.395348837209298</v>
      </c>
    </row>
    <row r="8" spans="1:13" x14ac:dyDescent="0.25">
      <c r="A8" s="16">
        <v>5</v>
      </c>
      <c r="B8" s="7" t="s">
        <v>77</v>
      </c>
      <c r="C8" s="6">
        <f>SUM(P__!U31)</f>
        <v>91.520467836257311</v>
      </c>
      <c r="D8" s="6">
        <f>SUM(P__!V31)</f>
        <v>34.782608695652172</v>
      </c>
      <c r="E8" s="6">
        <f>SUM(P__!W31)</f>
        <v>93.589743589743591</v>
      </c>
      <c r="F8" s="6">
        <f>SUMIF(P__!X31,"&gt;1",(P__!X31))</f>
        <v>100</v>
      </c>
      <c r="G8" s="6">
        <f>SUM(P__!Y31)</f>
        <v>97.883597883597886</v>
      </c>
      <c r="H8" s="369">
        <f>SUM(P__!Z31)</f>
        <v>84.552845528455293</v>
      </c>
      <c r="I8" s="6">
        <f>SUM(P__!AA31)</f>
        <v>93.333333333333329</v>
      </c>
      <c r="J8" s="7">
        <v>1805</v>
      </c>
      <c r="K8" s="19">
        <f>RANK(H8,$H$4:$H$25,1)+COUNTIF($H$4:H8,H8)-1</f>
        <v>7</v>
      </c>
      <c r="L8" s="18" t="str">
        <f>INDEX(B4:I25,MATCH(5,K4:K25,0),1)</f>
        <v>Przemyśl</v>
      </c>
      <c r="M8" s="6">
        <f>INDEX(B4:I25,MATCH(5,K4:K25,0),7)</f>
        <v>81.818181818181827</v>
      </c>
    </row>
    <row r="9" spans="1:13" x14ac:dyDescent="0.25">
      <c r="A9" s="16">
        <v>6</v>
      </c>
      <c r="B9" s="7" t="s">
        <v>78</v>
      </c>
      <c r="C9" s="6">
        <f>SUM(P__!U32)</f>
        <v>88.81578947368422</v>
      </c>
      <c r="D9" s="6">
        <f>SUM(P__!V32)</f>
        <v>82.857142857142861</v>
      </c>
      <c r="E9" s="6">
        <f>SUM(P__!W32)</f>
        <v>98.260869565217391</v>
      </c>
      <c r="F9" s="6">
        <f>SUMIF(P__!X32,"&gt;1",(P__!X32))</f>
        <v>100</v>
      </c>
      <c r="G9" s="6">
        <f>SUM(P__!Y32)</f>
        <v>98.387096774193552</v>
      </c>
      <c r="H9" s="369">
        <f>SUM(P__!Z32)</f>
        <v>95.348837209302332</v>
      </c>
      <c r="I9" s="6">
        <f>SUM(P__!AA32)</f>
        <v>100</v>
      </c>
      <c r="J9" s="7">
        <v>1806</v>
      </c>
      <c r="K9" s="19">
        <f>RANK(H9,$H$4:$H$25,1)+COUNTIF($H$4:H9,H9)-1</f>
        <v>15</v>
      </c>
      <c r="L9" s="18" t="str">
        <f>INDEX(B4:I25,MATCH(6,K4:K25,0),1)</f>
        <v>Ropczyce</v>
      </c>
      <c r="M9" s="6">
        <f>INDEX(B4:I25,MATCH(6,K4:K25,0),7)</f>
        <v>82.022471910112358</v>
      </c>
    </row>
    <row r="10" spans="1:13" x14ac:dyDescent="0.25">
      <c r="A10" s="218">
        <v>7</v>
      </c>
      <c r="B10" s="219" t="s">
        <v>79</v>
      </c>
      <c r="C10" s="215">
        <f>SUM(P__!U33)</f>
        <v>82.916666666666671</v>
      </c>
      <c r="D10" s="215">
        <f>SUM(P__!V33)</f>
        <v>45.283018867924532</v>
      </c>
      <c r="E10" s="215">
        <f>SUM(P__!W33)</f>
        <v>96.428571428571431</v>
      </c>
      <c r="F10" s="215">
        <f>SUMIF(P__!X33,"&gt;1",(P__!X33))</f>
        <v>96.428571428571431</v>
      </c>
      <c r="G10" s="215">
        <f>SUM(P__!Y33)</f>
        <v>98.165137614678898</v>
      </c>
      <c r="H10" s="370">
        <f>SUM(P__!Z33)</f>
        <v>88.059701492537314</v>
      </c>
      <c r="I10" s="215">
        <f>SUM(P__!AA33)</f>
        <v>97.5</v>
      </c>
      <c r="J10" s="219" t="s">
        <v>143</v>
      </c>
      <c r="K10" s="19">
        <f>RANK(H10,$H$4:$H$25,1)+COUNTIF($H$4:H10,H10)-1</f>
        <v>10</v>
      </c>
      <c r="L10" s="220" t="str">
        <f>INDEX(B4:I25,MATCH(7,K4:K25,0),1)</f>
        <v>Jasło</v>
      </c>
      <c r="M10" s="216">
        <f>INDEX(B4:I25,MATCH(7,K4:K25,0),7)</f>
        <v>84.552845528455293</v>
      </c>
    </row>
    <row r="11" spans="1:13" x14ac:dyDescent="0.25">
      <c r="A11" s="16">
        <v>8</v>
      </c>
      <c r="B11" s="7" t="s">
        <v>80</v>
      </c>
      <c r="C11" s="6">
        <f>SUM(P__!U35)</f>
        <v>91.017964071856284</v>
      </c>
      <c r="D11" s="6">
        <f>SUM(P__!V35)</f>
        <v>39.784946236559136</v>
      </c>
      <c r="E11" s="6">
        <f>SUM(P__!W35)</f>
        <v>93.181818181818173</v>
      </c>
      <c r="F11" s="6">
        <f>SUMIF(P__!X35,"&gt;1",(P__!X35))</f>
        <v>94.73684210526315</v>
      </c>
      <c r="G11" s="6">
        <f>SUM(P__!Y35)</f>
        <v>95.689655172413794</v>
      </c>
      <c r="H11" s="369">
        <f>SUM(P__!Z35)</f>
        <v>80</v>
      </c>
      <c r="I11" s="6">
        <f>SUM(P__!AA35)</f>
        <v>97.142857142857139</v>
      </c>
      <c r="J11" s="7">
        <v>1808</v>
      </c>
      <c r="K11" s="19">
        <f>RANK(H11,$H$4:$H$25,1)+COUNTIF($H$4:H11,H11)-1</f>
        <v>3</v>
      </c>
      <c r="L11" s="18" t="str">
        <f>INDEX(B4:I25,MATCH(8,K4:K25,0),1)</f>
        <v>Mielec</v>
      </c>
      <c r="M11" s="6">
        <f>INDEX(B4:I25,MATCH(8,K4:K25,0),7)</f>
        <v>86.666666666666671</v>
      </c>
    </row>
    <row r="12" spans="1:13" x14ac:dyDescent="0.25">
      <c r="A12" s="16">
        <v>9</v>
      </c>
      <c r="B12" s="7" t="s">
        <v>81</v>
      </c>
      <c r="C12" s="6">
        <f>SUM(P__!U36)</f>
        <v>86.075949367088612</v>
      </c>
      <c r="D12" s="6">
        <f>SUM(P__!V36)</f>
        <v>50</v>
      </c>
      <c r="E12" s="6">
        <f>SUM(P__!W36)</f>
        <v>98.101265822784811</v>
      </c>
      <c r="F12" s="6">
        <f>SUMIF(P__!X36,"&gt;1",(P__!X36))</f>
        <v>100</v>
      </c>
      <c r="G12" s="6">
        <f>SUM(P__!Y36)</f>
        <v>84.05797101449275</v>
      </c>
      <c r="H12" s="431">
        <f>SUMIF(P__!Z36,"&gt;1",(P__!Z36))</f>
        <v>0</v>
      </c>
      <c r="I12" s="6">
        <f>SUM(P__!AA36)</f>
        <v>89.583333333333343</v>
      </c>
      <c r="J12" s="7">
        <v>1809</v>
      </c>
      <c r="K12" s="19">
        <f>RANK(H12,$H$4:$H$25,1)+COUNTIF($H$4:H12,H12)-1</f>
        <v>1</v>
      </c>
      <c r="L12" s="18" t="str">
        <f>INDEX(B4:I25,MATCH(9,K4:K25,0),1)</f>
        <v>Ustrzyki Dolne</v>
      </c>
      <c r="M12" s="6">
        <f>INDEX(B4:I25,MATCH(9,K4:K25,0),7)</f>
        <v>87.5</v>
      </c>
    </row>
    <row r="13" spans="1:13" x14ac:dyDescent="0.25">
      <c r="A13" s="16">
        <v>10</v>
      </c>
      <c r="B13" s="7" t="s">
        <v>82</v>
      </c>
      <c r="C13" s="6">
        <f>SUM(P__!U37)</f>
        <v>86.5625</v>
      </c>
      <c r="D13" s="6">
        <f>SUM(P__!V37)</f>
        <v>24.731182795698924</v>
      </c>
      <c r="E13" s="6">
        <f>SUM(P__!W37)</f>
        <v>99.350649350649363</v>
      </c>
      <c r="F13" s="6">
        <f>SUMIF(P__!X37,"&gt;1",(P__!X37))</f>
        <v>97.61904761904762</v>
      </c>
      <c r="G13" s="6">
        <f>SUM(P__!Y37)</f>
        <v>100</v>
      </c>
      <c r="H13" s="369">
        <f>SUM(P__!Z37)</f>
        <v>100</v>
      </c>
      <c r="I13" s="6">
        <f>SUM(P__!AA37)</f>
        <v>95.918367346938766</v>
      </c>
      <c r="J13" s="7">
        <v>1810</v>
      </c>
      <c r="K13" s="19">
        <f>RANK(H13,$H$4:$H$25,1)+COUNTIF($H$4:H13,H13)-1</f>
        <v>20</v>
      </c>
      <c r="L13" s="18" t="str">
        <f>INDEX(B4:I25,MATCH(10,K4:K25,0),1)</f>
        <v>Krosno</v>
      </c>
      <c r="M13" s="6">
        <f>INDEX(B4:I25,MATCH(10,K4:K25,0),7)</f>
        <v>88.059701492537314</v>
      </c>
    </row>
    <row r="14" spans="1:13" x14ac:dyDescent="0.25">
      <c r="A14" s="16">
        <v>11</v>
      </c>
      <c r="B14" s="7" t="s">
        <v>83</v>
      </c>
      <c r="C14" s="6">
        <f>SUM(P__!U38)</f>
        <v>87.341772151898738</v>
      </c>
      <c r="D14" s="6">
        <f>SUM(P__!V38)</f>
        <v>69.230769230769226</v>
      </c>
      <c r="E14" s="6">
        <f>SUM(P__!W38)</f>
        <v>84.063745019920319</v>
      </c>
      <c r="F14" s="6">
        <f>SUMIF(P__!X38,"&gt;1",(P__!X38))</f>
        <v>98.461538461538467</v>
      </c>
      <c r="G14" s="6">
        <f>SUM(P__!Y38)</f>
        <v>98.165137614678898</v>
      </c>
      <c r="H14" s="369">
        <f>SUM(P__!Z38)</f>
        <v>86.666666666666671</v>
      </c>
      <c r="I14" s="6">
        <f>SUM(P__!AA38)</f>
        <v>100</v>
      </c>
      <c r="J14" s="7">
        <v>1811</v>
      </c>
      <c r="K14" s="19">
        <f>RANK(H14,$H$4:$H$25,1)+COUNTIF($H$4:H14,H14)-1</f>
        <v>8</v>
      </c>
      <c r="L14" s="154" t="str">
        <f>INDEX(B4:I25,MATCH(11,K4:K25,0),1)</f>
        <v>Podkarpacie</v>
      </c>
      <c r="M14" s="22">
        <f>INDEX(B4:I25,MATCH(11,K4:K25,0),7)</f>
        <v>90.28831562974203</v>
      </c>
    </row>
    <row r="15" spans="1:13" x14ac:dyDescent="0.25">
      <c r="A15" s="16">
        <v>12</v>
      </c>
      <c r="B15" s="7" t="s">
        <v>84</v>
      </c>
      <c r="C15" s="6">
        <f>SUM(P__!U39)</f>
        <v>75.786924939467312</v>
      </c>
      <c r="D15" s="6">
        <f>SUM(P__!V39)</f>
        <v>37.681159420289859</v>
      </c>
      <c r="E15" s="6">
        <f>SUM(P__!W39)</f>
        <v>86.797752808988761</v>
      </c>
      <c r="F15" s="6">
        <f>SUMIF(P__!X39,"&gt;1",(P__!X39))</f>
        <v>72.222222222222214</v>
      </c>
      <c r="G15" s="6">
        <f>SUM(P__!Y39)</f>
        <v>92.20779220779221</v>
      </c>
      <c r="H15" s="369">
        <f>SUM(P__!Z39)</f>
        <v>81.395348837209298</v>
      </c>
      <c r="I15" s="6">
        <f>SUM(P__!AA39)</f>
        <v>88.235294117647058</v>
      </c>
      <c r="J15" s="7">
        <v>1812</v>
      </c>
      <c r="K15" s="19">
        <f>RANK(H15,$H$4:$H$25,1)+COUNTIF($H$4:H15,H15)-1</f>
        <v>4</v>
      </c>
      <c r="L15" s="18" t="str">
        <f>INDEX(B4:I25,MATCH(12,K4:K25,0),1)</f>
        <v>Strzyżów</v>
      </c>
      <c r="M15" s="6">
        <f>INDEX(B4:I25,MATCH(12,K4:K25,0),7)</f>
        <v>91.379310344827587</v>
      </c>
    </row>
    <row r="16" spans="1:13" x14ac:dyDescent="0.25">
      <c r="A16" s="16">
        <v>13</v>
      </c>
      <c r="B16" s="7" t="s">
        <v>85</v>
      </c>
      <c r="C16" s="6">
        <f>SUM(P__!U40)</f>
        <v>78.01418439716312</v>
      </c>
      <c r="D16" s="6">
        <f>SUM(P__!V40)</f>
        <v>56.862745098039213</v>
      </c>
      <c r="E16" s="6">
        <f>SUM(P__!W40)</f>
        <v>89.562289562289564</v>
      </c>
      <c r="F16" s="6">
        <f>SUMIF(P__!X40,"&gt;1",(P__!X40))</f>
        <v>88.535031847133766</v>
      </c>
      <c r="G16" s="6">
        <f>SUM(P__!Y40)</f>
        <v>91.025641025641022</v>
      </c>
      <c r="H16" s="369">
        <f>SUM(P__!Z40)</f>
        <v>76.785714285714292</v>
      </c>
      <c r="I16" s="6">
        <f>SUM(P__!AA40)</f>
        <v>82.142857142857139</v>
      </c>
      <c r="J16" s="7">
        <v>1814</v>
      </c>
      <c r="K16" s="20">
        <f>RANK(H16,$H$4:$H$25,1)+COUNTIF($H$4:H16,H16)-1</f>
        <v>2</v>
      </c>
      <c r="L16" s="21" t="str">
        <f>INDEX(B4:I25,MATCH(13,K4:K25,0),1)</f>
        <v>Rzeszów</v>
      </c>
      <c r="M16" s="6">
        <f>INDEX(B4:I25,MATCH(13,K4:K25,0),7)</f>
        <v>91.803278688524586</v>
      </c>
    </row>
    <row r="17" spans="1:13" x14ac:dyDescent="0.25">
      <c r="A17" s="16">
        <v>14</v>
      </c>
      <c r="B17" s="7" t="s">
        <v>86</v>
      </c>
      <c r="C17" s="6">
        <f>SUM(P__!U41)</f>
        <v>80.392156862745097</v>
      </c>
      <c r="D17" s="6">
        <f>SUM(P__!V41)</f>
        <v>77.272727272727266</v>
      </c>
      <c r="E17" s="6">
        <f>SUM(P__!W41)</f>
        <v>81.818181818181827</v>
      </c>
      <c r="F17" s="6">
        <f>SUMIF(P__!X41,"&gt;1",(P__!X41))</f>
        <v>92.957746478873233</v>
      </c>
      <c r="G17" s="6">
        <f>SUM(P__!Y41)</f>
        <v>92.125984251968504</v>
      </c>
      <c r="H17" s="369">
        <f>SUM(P__!Z41)</f>
        <v>82.022471910112358</v>
      </c>
      <c r="I17" s="6">
        <f>SUM(P__!AA41)</f>
        <v>85.714285714285708</v>
      </c>
      <c r="J17" s="7">
        <v>1815</v>
      </c>
      <c r="K17" s="20">
        <f>RANK(H17,$H$4:$H$25,1)+COUNTIF($H$4:H17,H17)-1</f>
        <v>6</v>
      </c>
      <c r="L17" s="21" t="str">
        <f>INDEX(B4:I25,MATCH(14,K4:K25,0),1)</f>
        <v>Sanok</v>
      </c>
      <c r="M17" s="6">
        <f>INDEX(B4:I25,MATCH(14,K4:K25,0),7)</f>
        <v>94.230769230769226</v>
      </c>
    </row>
    <row r="18" spans="1:13" x14ac:dyDescent="0.25">
      <c r="A18" s="218">
        <v>15</v>
      </c>
      <c r="B18" s="219" t="s">
        <v>87</v>
      </c>
      <c r="C18" s="215">
        <f>SUM(P__!U43)</f>
        <v>83.909574468085097</v>
      </c>
      <c r="D18" s="215">
        <f>SUM(P__!V43)</f>
        <v>55.313351498637594</v>
      </c>
      <c r="E18" s="215">
        <f>SUM(P__!W43)</f>
        <v>90.099009900990097</v>
      </c>
      <c r="F18" s="215">
        <f>SUMIF(P__!X43,"&gt;1",(P__!X43))</f>
        <v>82.051282051282044</v>
      </c>
      <c r="G18" s="215">
        <f>SUM(P__!Y43)</f>
        <v>97.206703910614522</v>
      </c>
      <c r="H18" s="370">
        <f>SUM(P__!Z43)</f>
        <v>91.803278688524586</v>
      </c>
      <c r="I18" s="215">
        <f>SUM(P__!AA43)</f>
        <v>91.428571428571431</v>
      </c>
      <c r="J18" s="219" t="s">
        <v>145</v>
      </c>
      <c r="K18" s="19">
        <f>RANK(H18,$H$4:$H$25,1)+COUNTIF($H$4:H18,H18)-1</f>
        <v>13</v>
      </c>
      <c r="L18" s="7" t="str">
        <f>INDEX(B4:I25,MATCH(15,K4:K25,0),1)</f>
        <v>Kolbuszowa</v>
      </c>
      <c r="M18" s="6">
        <f>INDEX(B4:I25,MATCH(15,K4:K25,0),7)</f>
        <v>95.348837209302332</v>
      </c>
    </row>
    <row r="19" spans="1:13" x14ac:dyDescent="0.25">
      <c r="A19" s="16">
        <v>16</v>
      </c>
      <c r="B19" s="7" t="s">
        <v>88</v>
      </c>
      <c r="C19" s="6">
        <f>SUM(P__!U44)</f>
        <v>85.561497326203209</v>
      </c>
      <c r="D19" s="6">
        <f>SUM(P__!V44)</f>
        <v>55.833333333333336</v>
      </c>
      <c r="E19" s="6">
        <f>SUM(P__!W44)</f>
        <v>93.75</v>
      </c>
      <c r="F19" s="6">
        <f>SUMIF(P__!X44,"&gt;1",(P__!X44))</f>
        <v>100</v>
      </c>
      <c r="G19" s="6">
        <f>SUM(P__!Y44)</f>
        <v>100</v>
      </c>
      <c r="H19" s="369">
        <f>SUM(P__!Z44)</f>
        <v>94.230769230769226</v>
      </c>
      <c r="I19" s="6">
        <f>SUM(P__!AA44)</f>
        <v>93.103448275862064</v>
      </c>
      <c r="J19" s="7">
        <v>1817</v>
      </c>
      <c r="K19" s="19">
        <f>RANK(H19,$H$4:$H$25,1)+COUNTIF($H$4:H19,H19)-1</f>
        <v>14</v>
      </c>
      <c r="L19" s="7" t="str">
        <f>INDEX(B4:I25,MATCH(16,K4:K25,0),1)</f>
        <v>Stalowa Wola</v>
      </c>
      <c r="M19" s="6">
        <f>INDEX(B4:I25,MATCH(16,K4:K25,0),7)</f>
        <v>96.296296296296291</v>
      </c>
    </row>
    <row r="20" spans="1:13" x14ac:dyDescent="0.25">
      <c r="A20" s="16">
        <v>17</v>
      </c>
      <c r="B20" s="7" t="s">
        <v>89</v>
      </c>
      <c r="C20" s="6">
        <f>SUM(P__!U45)</f>
        <v>82.392026578073086</v>
      </c>
      <c r="D20" s="6">
        <f>SUM(P__!V45)</f>
        <v>68.387096774193552</v>
      </c>
      <c r="E20" s="6">
        <f>SUM(P__!W45)</f>
        <v>99.236641221374043</v>
      </c>
      <c r="F20" s="6">
        <f>SUMIF(P__!X45,"&gt;1",(P__!X45))</f>
        <v>92.592592592592595</v>
      </c>
      <c r="G20" s="6">
        <f>SUM(P__!Y45)</f>
        <v>88.659793814432987</v>
      </c>
      <c r="H20" s="369">
        <f>SUM(P__!Z45)</f>
        <v>96.296296296296291</v>
      </c>
      <c r="I20" s="6">
        <f>SUM(P__!AA45)</f>
        <v>94.444444444444443</v>
      </c>
      <c r="J20" s="7">
        <v>1818</v>
      </c>
      <c r="K20" s="19">
        <f>RANK(H20,$H$4:$H$25,1)+COUNTIF($H$4:H20,H20)-1</f>
        <v>16</v>
      </c>
      <c r="L20" s="7" t="str">
        <f>INDEX(B4:I25,MATCH(17,K4:K25,0),1)</f>
        <v>Dębica</v>
      </c>
      <c r="M20" s="6">
        <f>INDEX(B4:I25,MATCH(17,K4:K25,0),7)</f>
        <v>97.183098591549296</v>
      </c>
    </row>
    <row r="21" spans="1:13" x14ac:dyDescent="0.25">
      <c r="A21" s="16">
        <v>18</v>
      </c>
      <c r="B21" s="7" t="s">
        <v>90</v>
      </c>
      <c r="C21" s="6">
        <f>SUM(P__!U46)</f>
        <v>88.103448275862078</v>
      </c>
      <c r="D21" s="6">
        <f>SUM(P__!V46)</f>
        <v>57.692307692307686</v>
      </c>
      <c r="E21" s="6">
        <f>SUM(P__!W46)</f>
        <v>96.491228070175438</v>
      </c>
      <c r="F21" s="6">
        <f>SUMIF(P__!X46,"&gt;1",(P__!X46))</f>
        <v>100</v>
      </c>
      <c r="G21" s="6">
        <f>SUM(P__!Y46)</f>
        <v>96.590909090909093</v>
      </c>
      <c r="H21" s="369">
        <f>SUM(P__!Z46)</f>
        <v>91.379310344827587</v>
      </c>
      <c r="I21" s="6">
        <f>SUM(P__!AA46)</f>
        <v>100</v>
      </c>
      <c r="J21" s="7">
        <v>1819</v>
      </c>
      <c r="K21" s="19">
        <f>RANK(H21,$H$4:$H$25,1)+COUNTIF($H$4:H21,H21)-1</f>
        <v>12</v>
      </c>
      <c r="L21" s="7" t="str">
        <f>INDEX(B4:I25,MATCH(18,K4:K25,0),1)</f>
        <v>Jarosław</v>
      </c>
      <c r="M21" s="6">
        <f>INDEX(B4:I25,MATCH(18,K4:K25,0),7)</f>
        <v>99.107142857142861</v>
      </c>
    </row>
    <row r="22" spans="1:13" x14ac:dyDescent="0.25">
      <c r="A22" s="218">
        <v>19</v>
      </c>
      <c r="B22" s="219" t="s">
        <v>91</v>
      </c>
      <c r="C22" s="215">
        <f>SUM(P__!U47)</f>
        <v>91.21621621621621</v>
      </c>
      <c r="D22" s="215">
        <f>SUM(P__!V47)</f>
        <v>37.142857142857146</v>
      </c>
      <c r="E22" s="215">
        <f>SUM(P__!W47)</f>
        <v>96.385542168674704</v>
      </c>
      <c r="F22" s="215">
        <f>SUMIF(P__!X47,"&gt;1",(P__!X47))</f>
        <v>97.132616487455195</v>
      </c>
      <c r="G22" s="215">
        <f>SUM(P__!Y47)</f>
        <v>100</v>
      </c>
      <c r="H22" s="370">
        <f>SUM(P__!Z47)</f>
        <v>100</v>
      </c>
      <c r="I22" s="215">
        <f>SUM(P__!AA47)</f>
        <v>91.304347826086953</v>
      </c>
      <c r="J22" s="219" t="s">
        <v>146</v>
      </c>
      <c r="K22" s="19">
        <f>RANK(H22,$H$4:$H$25,1)+COUNTIF($H$4:H22,H22)-1</f>
        <v>21</v>
      </c>
      <c r="L22" s="7" t="str">
        <f>INDEX(B4:I25,MATCH(19,K4:K25,0),1)</f>
        <v>Brzozów</v>
      </c>
      <c r="M22" s="6">
        <f>INDEX(B4:I25,MATCH(19,K4:K25,0),7)</f>
        <v>100</v>
      </c>
    </row>
    <row r="23" spans="1:13" x14ac:dyDescent="0.25">
      <c r="A23" s="16">
        <v>20</v>
      </c>
      <c r="B23" s="7" t="s">
        <v>92</v>
      </c>
      <c r="C23" s="6">
        <f>SUM(P__!U48)</f>
        <v>83.185840707964601</v>
      </c>
      <c r="D23" s="6">
        <f>SUM(P__!V48)</f>
        <v>90</v>
      </c>
      <c r="E23" s="6">
        <f>SUM(P__!W48)</f>
        <v>94.594594594594597</v>
      </c>
      <c r="F23" s="6">
        <f>SUMIF(P__!X48,"&gt;1",(P__!X48))</f>
        <v>83.333333333333343</v>
      </c>
      <c r="G23" s="6">
        <f>SUM(P__!Y48)</f>
        <v>82.857142857142861</v>
      </c>
      <c r="H23" s="369">
        <f>SUM(P__!Z48)</f>
        <v>100</v>
      </c>
      <c r="I23" s="6">
        <f>SUM(P__!AA48)</f>
        <v>89.743589743589752</v>
      </c>
      <c r="J23" s="7">
        <v>1821</v>
      </c>
      <c r="K23" s="19">
        <f>RANK(H23,$H$4:$H$25,1)+COUNTIF($H$4:H23,H23)-1</f>
        <v>22</v>
      </c>
      <c r="L23" s="7" t="str">
        <f>INDEX(B4:I25,MATCH(20,K4:K25,0),1)</f>
        <v>Łańcut</v>
      </c>
      <c r="M23" s="6">
        <f>INDEX(B4:I25,MATCH(20,K4:K25,0),7)</f>
        <v>100</v>
      </c>
    </row>
    <row r="24" spans="1:13" x14ac:dyDescent="0.25">
      <c r="A24" s="218">
        <v>21</v>
      </c>
      <c r="B24" s="219" t="s">
        <v>97</v>
      </c>
      <c r="C24" s="215">
        <f>SUM(P__!U49)</f>
        <v>85.784313725490193</v>
      </c>
      <c r="D24" s="215">
        <f>SUM(P__!V49)</f>
        <v>44.776119402985074</v>
      </c>
      <c r="E24" s="215">
        <f>SUM(P__!W49)</f>
        <v>97.628458498023718</v>
      </c>
      <c r="F24" s="215">
        <f>SUMIF(P__!X49,"&gt;1",(P__!X49))</f>
        <v>94.85294117647058</v>
      </c>
      <c r="G24" s="215">
        <f>SUM(P__!Y49)</f>
        <v>89.65517241379311</v>
      </c>
      <c r="H24" s="370">
        <f>SUM(P__!Z49)</f>
        <v>81.818181818181827</v>
      </c>
      <c r="I24" s="215">
        <f>SUM(P__!AA49)</f>
        <v>91.304347826086953</v>
      </c>
      <c r="J24" s="219" t="s">
        <v>144</v>
      </c>
      <c r="K24" s="19">
        <f>RANK(H24,$H$4:$H$25,1)+COUNTIF($H$4:H24,H24)-1</f>
        <v>5</v>
      </c>
      <c r="L24" s="7" t="str">
        <f>INDEX(B4:I25,MATCH(21,K4:K25,0),1)</f>
        <v>Tarnobrzeg</v>
      </c>
      <c r="M24" s="6">
        <f>INDEX(B4:I25,MATCH(21,K4:K25,0),7)</f>
        <v>100</v>
      </c>
    </row>
    <row r="25" spans="1:13" x14ac:dyDescent="0.25">
      <c r="A25" s="16">
        <v>22</v>
      </c>
      <c r="B25" s="18" t="s">
        <v>100</v>
      </c>
      <c r="C25" s="6">
        <f>SUM(P__!U50)</f>
        <v>85.071629401526309</v>
      </c>
      <c r="D25" s="6">
        <f>SUM(P__!V50)</f>
        <v>52.031978680879412</v>
      </c>
      <c r="E25" s="6">
        <f>SUM(P__!W50)</f>
        <v>93.357320786050366</v>
      </c>
      <c r="F25" s="6">
        <f>SUMIF(P__!X50,"&gt;1",(P__!X50))</f>
        <v>94.23585404547859</v>
      </c>
      <c r="G25" s="6">
        <f>SUM(P__!Y50)</f>
        <v>95.395869191049911</v>
      </c>
      <c r="H25" s="369">
        <f>SUM(P__!Z50)</f>
        <v>90.28831562974203</v>
      </c>
      <c r="I25" s="6">
        <f>SUM(P__!AA50)</f>
        <v>91.208791208791212</v>
      </c>
      <c r="J25" s="7">
        <v>1800</v>
      </c>
      <c r="K25" s="19">
        <f>RANK(H25,$H$4:$H$25,1)+COUNTIF($H$4:H25,H25)-1</f>
        <v>11</v>
      </c>
      <c r="L25" s="7" t="str">
        <f>INDEX(B4:I25,MATCH(22,K4:K25,0),1)</f>
        <v>Lesko</v>
      </c>
      <c r="M25" s="6">
        <f>INDEX(B4:I25,MATCH(22,K4:K25,0),7)</f>
        <v>100</v>
      </c>
    </row>
    <row r="26" spans="1:13" x14ac:dyDescent="0.25">
      <c r="B26" s="10"/>
      <c r="C26" s="10">
        <v>1</v>
      </c>
      <c r="D26" s="10">
        <v>2</v>
      </c>
      <c r="E26" s="10">
        <v>3</v>
      </c>
      <c r="F26" s="10">
        <v>4</v>
      </c>
      <c r="G26" s="10">
        <v>5</v>
      </c>
      <c r="H26" s="10">
        <v>6</v>
      </c>
      <c r="I26" s="10">
        <v>7</v>
      </c>
    </row>
    <row r="27" spans="1:13" x14ac:dyDescent="0.25">
      <c r="A27" s="16">
        <v>1</v>
      </c>
      <c r="B27" s="17" t="s">
        <v>1</v>
      </c>
      <c r="C27" s="15" t="s">
        <v>152</v>
      </c>
    </row>
    <row r="28" spans="1:13" x14ac:dyDescent="0.25">
      <c r="A28" s="16">
        <v>2</v>
      </c>
      <c r="B28" s="17" t="s">
        <v>2</v>
      </c>
      <c r="C28" s="15" t="s">
        <v>152</v>
      </c>
      <c r="D28" s="30"/>
      <c r="E28" s="30"/>
      <c r="F28" s="30"/>
      <c r="G28" s="30"/>
      <c r="H28" s="30"/>
      <c r="I28" s="30"/>
      <c r="J28" s="30"/>
      <c r="K28" s="26"/>
      <c r="L28" s="30"/>
    </row>
    <row r="29" spans="1:13" x14ac:dyDescent="0.25">
      <c r="A29" s="16">
        <v>3</v>
      </c>
      <c r="B29" s="17" t="s">
        <v>3</v>
      </c>
      <c r="C29" s="15" t="s">
        <v>152</v>
      </c>
      <c r="D29" s="26"/>
      <c r="E29" s="26"/>
      <c r="F29" s="26"/>
      <c r="G29" s="26"/>
      <c r="H29" s="26"/>
      <c r="I29" s="26"/>
      <c r="J29" s="30"/>
      <c r="K29" s="30"/>
      <c r="L29" s="30"/>
    </row>
    <row r="30" spans="1:13" x14ac:dyDescent="0.25">
      <c r="A30" s="16">
        <v>4</v>
      </c>
      <c r="B30" s="17" t="s">
        <v>4</v>
      </c>
      <c r="C30" s="15" t="s">
        <v>152</v>
      </c>
    </row>
    <row r="31" spans="1:13" x14ac:dyDescent="0.25">
      <c r="A31" s="16">
        <v>5</v>
      </c>
      <c r="B31" s="17" t="s">
        <v>16</v>
      </c>
      <c r="C31" s="15" t="s">
        <v>152</v>
      </c>
    </row>
    <row r="32" spans="1:13" x14ac:dyDescent="0.25">
      <c r="A32" s="348">
        <v>6</v>
      </c>
      <c r="B32" s="368" t="s">
        <v>17</v>
      </c>
      <c r="C32" s="15" t="s">
        <v>152</v>
      </c>
    </row>
    <row r="33" spans="1:3" x14ac:dyDescent="0.25">
      <c r="A33" s="16">
        <v>7</v>
      </c>
      <c r="B33" s="17" t="s">
        <v>11</v>
      </c>
      <c r="C33" s="15" t="s">
        <v>152</v>
      </c>
    </row>
  </sheetData>
  <sortState xmlns:xlrd2="http://schemas.microsoft.com/office/spreadsheetml/2017/richdata2" ref="A4:H25">
    <sortCondition ref="H4:H25"/>
  </sortState>
  <pageMargins left="0.7" right="0.7" top="0.75" bottom="0.75" header="0.3" footer="0.3"/>
  <pageSetup paperSize="9" scale="5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9900"/>
  </sheetPr>
  <dimension ref="A1:M33"/>
  <sheetViews>
    <sheetView zoomScale="90" zoomScaleNormal="90" workbookViewId="0"/>
  </sheetViews>
  <sheetFormatPr defaultRowHeight="15" x14ac:dyDescent="0.25"/>
  <cols>
    <col min="1" max="1" width="5.140625" style="15" customWidth="1"/>
    <col min="2" max="2" width="13.42578125" style="15" customWidth="1"/>
    <col min="3" max="3" width="8.28515625" style="15" customWidth="1"/>
    <col min="4" max="4" width="9.140625" style="15"/>
    <col min="5" max="5" width="11" style="15" customWidth="1"/>
    <col min="6" max="6" width="10.5703125" style="15" customWidth="1"/>
    <col min="7" max="7" width="10" style="15" customWidth="1"/>
    <col min="8" max="8" width="9.85546875" style="15" customWidth="1"/>
    <col min="9" max="9" width="9.5703125" style="15" customWidth="1"/>
    <col min="10" max="10" width="12.140625" style="10" customWidth="1"/>
    <col min="11" max="11" width="6.7109375" style="10" customWidth="1"/>
    <col min="12" max="12" width="14.42578125" style="10" customWidth="1"/>
    <col min="13" max="13" width="13.140625" style="15" customWidth="1"/>
    <col min="14" max="16384" width="9.140625" style="15"/>
  </cols>
  <sheetData>
    <row r="1" spans="1:13" x14ac:dyDescent="0.25">
      <c r="A1" s="15" t="s">
        <v>142</v>
      </c>
    </row>
    <row r="2" spans="1:13" x14ac:dyDescent="0.25">
      <c r="A2" s="15" t="s">
        <v>325</v>
      </c>
    </row>
    <row r="3" spans="1:13" x14ac:dyDescent="0.25">
      <c r="A3" s="348">
        <f>SUM(P__!K26)</f>
        <v>2021</v>
      </c>
      <c r="B3" s="368" t="s">
        <v>101</v>
      </c>
      <c r="C3" s="348" t="s">
        <v>136</v>
      </c>
      <c r="D3" s="348" t="s">
        <v>135</v>
      </c>
      <c r="E3" s="348" t="s">
        <v>149</v>
      </c>
      <c r="F3" s="348" t="s">
        <v>139</v>
      </c>
      <c r="G3" s="348" t="s">
        <v>150</v>
      </c>
      <c r="H3" s="348" t="s">
        <v>148</v>
      </c>
      <c r="I3" s="348" t="s">
        <v>299</v>
      </c>
      <c r="J3" s="16"/>
      <c r="K3" s="16" t="s">
        <v>71</v>
      </c>
      <c r="L3" s="16" t="s">
        <v>151</v>
      </c>
      <c r="M3" s="43" t="s">
        <v>147</v>
      </c>
    </row>
    <row r="4" spans="1:13" x14ac:dyDescent="0.25">
      <c r="A4" s="16">
        <v>1</v>
      </c>
      <c r="B4" s="7" t="s">
        <v>73</v>
      </c>
      <c r="C4" s="6">
        <f>SUM(P__!U27)</f>
        <v>85.714285714285708</v>
      </c>
      <c r="D4" s="6">
        <f>SUM(P__!V27)</f>
        <v>40</v>
      </c>
      <c r="E4" s="6">
        <f>SUM(P__!W27)</f>
        <v>97.087378640776706</v>
      </c>
      <c r="F4" s="6">
        <f>SUMIF(P__!X27,"&gt;1",(P__!X27))</f>
        <v>100</v>
      </c>
      <c r="G4" s="6">
        <f>SUMIF(P__!Y27,"&gt;1",(P__!Y27))</f>
        <v>94.827586206896555</v>
      </c>
      <c r="H4" s="6">
        <f>SUMIF(P__!Z27,"&gt;1",(P__!Z27))</f>
        <v>87.5</v>
      </c>
      <c r="I4" s="369">
        <f>SUMIF(P__!AA27,"&gt;1",(P__!AA27))</f>
        <v>87.179487179487182</v>
      </c>
      <c r="J4" s="7">
        <v>1801</v>
      </c>
      <c r="K4" s="19">
        <f>RANK(I4,$I$4:$I$25,1)+COUNTIF($I$4:I4,I4)-1</f>
        <v>4</v>
      </c>
      <c r="L4" s="7" t="str">
        <f>INDEX(B4:I25,MATCH(1,K4:K25,0),1)</f>
        <v>Jarosław</v>
      </c>
      <c r="M4" s="6">
        <f>INDEX(B4:I25,MATCH(1,K4:K25,0),8)</f>
        <v>80.701754385964904</v>
      </c>
    </row>
    <row r="5" spans="1:13" x14ac:dyDescent="0.25">
      <c r="A5" s="16">
        <v>2</v>
      </c>
      <c r="B5" s="7" t="s">
        <v>74</v>
      </c>
      <c r="C5" s="6">
        <f>SUM(P__!U28)</f>
        <v>85.618729096989966</v>
      </c>
      <c r="D5" s="6">
        <f>SUM(P__!V28)</f>
        <v>59.259259259259252</v>
      </c>
      <c r="E5" s="6">
        <f>SUM(P__!W28)</f>
        <v>96.428571428571431</v>
      </c>
      <c r="F5" s="6">
        <f>SUMIF(P__!X28,"&gt;1",(P__!X28))</f>
        <v>95.161290322580655</v>
      </c>
      <c r="G5" s="6">
        <f>SUM(P__!Y28)</f>
        <v>99.090909090909093</v>
      </c>
      <c r="H5" s="6">
        <f>SUM(P__!Z28)</f>
        <v>100</v>
      </c>
      <c r="I5" s="369">
        <f>SUM(P__!AA28)</f>
        <v>92.10526315789474</v>
      </c>
      <c r="J5" s="7">
        <v>1802</v>
      </c>
      <c r="K5" s="19">
        <f>RANK(I5,$I$4:$I$25,1)+COUNTIF($I$4:I5,I5)-1</f>
        <v>13</v>
      </c>
      <c r="L5" s="18" t="str">
        <f>INDEX(B4:I25,MATCH(2,K4:K25,0),1)</f>
        <v>Przeworsk</v>
      </c>
      <c r="M5" s="6">
        <f>INDEX(B4:I25,MATCH(2,K4:K25,0),8)</f>
        <v>82.142857142857139</v>
      </c>
    </row>
    <row r="6" spans="1:13" x14ac:dyDescent="0.25">
      <c r="A6" s="16">
        <v>3</v>
      </c>
      <c r="B6" s="7" t="s">
        <v>75</v>
      </c>
      <c r="C6" s="6">
        <f>SUM(P__!U29)</f>
        <v>78.968253968253961</v>
      </c>
      <c r="D6" s="6">
        <f>SUM(P__!V29)</f>
        <v>52.631578947368418</v>
      </c>
      <c r="E6" s="6">
        <f>SUM(P__!W29)</f>
        <v>98.75</v>
      </c>
      <c r="F6" s="6">
        <f>SUMIF(P__!X29,"&gt;1",(P__!X29))</f>
        <v>75</v>
      </c>
      <c r="G6" s="6">
        <f>SUM(P__!Y29)</f>
        <v>100</v>
      </c>
      <c r="H6" s="6">
        <f>SUM(P__!Z29)</f>
        <v>97.183098591549296</v>
      </c>
      <c r="I6" s="369">
        <f>SUM(P__!AA29)</f>
        <v>91.428571428571431</v>
      </c>
      <c r="J6" s="7">
        <v>1803</v>
      </c>
      <c r="K6" s="19">
        <f>RANK(I6,$I$4:$I$25,1)+COUNTIF($I$4:I6,I6)-1</f>
        <v>11</v>
      </c>
      <c r="L6" s="18" t="str">
        <f>INDEX(B4:I25,MATCH(3,K4:K25,0),1)</f>
        <v>Ropczyce</v>
      </c>
      <c r="M6" s="6">
        <f>INDEX(B4:I25,MATCH(3,K4:K25,0),8)</f>
        <v>85.714285714285708</v>
      </c>
    </row>
    <row r="7" spans="1:13" x14ac:dyDescent="0.25">
      <c r="A7" s="16">
        <v>4</v>
      </c>
      <c r="B7" s="7" t="s">
        <v>76</v>
      </c>
      <c r="C7" s="6">
        <f>SUM(P__!U30)</f>
        <v>86.52849740932642</v>
      </c>
      <c r="D7" s="6">
        <f>SUM(P__!V30)</f>
        <v>66.666666666666657</v>
      </c>
      <c r="E7" s="6">
        <f>SUM(P__!W30)</f>
        <v>97.407407407407405</v>
      </c>
      <c r="F7" s="6">
        <f>SUMIF(P__!X30,"&gt;1",(P__!X30))</f>
        <v>99.625468164794</v>
      </c>
      <c r="G7" s="6">
        <f>SUM(P__!Y30)</f>
        <v>100</v>
      </c>
      <c r="H7" s="6">
        <f>SUM(P__!Z30)</f>
        <v>99.107142857142861</v>
      </c>
      <c r="I7" s="369">
        <f>SUM(P__!AA30)</f>
        <v>80.701754385964904</v>
      </c>
      <c r="J7" s="7">
        <v>1804</v>
      </c>
      <c r="K7" s="19">
        <f>RANK(I7,$I$4:$I$25,1)+COUNTIF($I$4:I7,I7)-1</f>
        <v>1</v>
      </c>
      <c r="L7" s="18" t="str">
        <f>INDEX(B4:I25,MATCH(4,K4:K25,0),1)</f>
        <v>Ustrzyki Dolne</v>
      </c>
      <c r="M7" s="6">
        <f>INDEX(B4:I25,MATCH(4,K4:K25,0),8)</f>
        <v>87.179487179487182</v>
      </c>
    </row>
    <row r="8" spans="1:13" x14ac:dyDescent="0.25">
      <c r="A8" s="16">
        <v>5</v>
      </c>
      <c r="B8" s="7" t="s">
        <v>77</v>
      </c>
      <c r="C8" s="6">
        <f>SUM(P__!U31)</f>
        <v>91.520467836257311</v>
      </c>
      <c r="D8" s="6">
        <f>SUM(P__!V31)</f>
        <v>34.782608695652172</v>
      </c>
      <c r="E8" s="6">
        <f>SUM(P__!W31)</f>
        <v>93.589743589743591</v>
      </c>
      <c r="F8" s="6">
        <f>SUMIF(P__!X31,"&gt;1",(P__!X31))</f>
        <v>100</v>
      </c>
      <c r="G8" s="6">
        <f>SUM(P__!Y31)</f>
        <v>97.883597883597886</v>
      </c>
      <c r="H8" s="6">
        <f>SUM(P__!Z31)</f>
        <v>84.552845528455293</v>
      </c>
      <c r="I8" s="369">
        <f>SUM(P__!AA31)</f>
        <v>93.333333333333329</v>
      </c>
      <c r="J8" s="7">
        <v>1805</v>
      </c>
      <c r="K8" s="19">
        <f>RANK(I8,$I$4:$I$25,1)+COUNTIF($I$4:I8,I8)-1</f>
        <v>15</v>
      </c>
      <c r="L8" s="18" t="str">
        <f>INDEX(B4:I25,MATCH(5,K4:K25,0),1)</f>
        <v>Nisko</v>
      </c>
      <c r="M8" s="6">
        <f>INDEX(B4:I25,MATCH(5,K4:K25,0),8)</f>
        <v>88.235294117647058</v>
      </c>
    </row>
    <row r="9" spans="1:13" x14ac:dyDescent="0.25">
      <c r="A9" s="16">
        <v>6</v>
      </c>
      <c r="B9" s="7" t="s">
        <v>78</v>
      </c>
      <c r="C9" s="6">
        <f>SUM(P__!U32)</f>
        <v>88.81578947368422</v>
      </c>
      <c r="D9" s="6">
        <f>SUM(P__!V32)</f>
        <v>82.857142857142861</v>
      </c>
      <c r="E9" s="6">
        <f>SUM(P__!W32)</f>
        <v>98.260869565217391</v>
      </c>
      <c r="F9" s="6">
        <f>SUMIF(P__!X32,"&gt;1",(P__!X32))</f>
        <v>100</v>
      </c>
      <c r="G9" s="6">
        <f>SUM(P__!Y32)</f>
        <v>98.387096774193552</v>
      </c>
      <c r="H9" s="6">
        <f>SUM(P__!Z32)</f>
        <v>95.348837209302332</v>
      </c>
      <c r="I9" s="369">
        <f>SUM(P__!AA32)</f>
        <v>100</v>
      </c>
      <c r="J9" s="7">
        <v>1806</v>
      </c>
      <c r="K9" s="19">
        <f>RANK(I9,$I$4:$I$25,1)+COUNTIF($I$4:I9,I9)-1</f>
        <v>20</v>
      </c>
      <c r="L9" s="18" t="str">
        <f>INDEX(B4:I25,MATCH(6,K4:K25,0),1)</f>
        <v>Lubaczów</v>
      </c>
      <c r="M9" s="6">
        <f>INDEX(B4:I25,MATCH(6,K4:K25,0),8)</f>
        <v>89.583333333333343</v>
      </c>
    </row>
    <row r="10" spans="1:13" x14ac:dyDescent="0.25">
      <c r="A10" s="218">
        <v>7</v>
      </c>
      <c r="B10" s="219" t="s">
        <v>79</v>
      </c>
      <c r="C10" s="215">
        <f>SUM(P__!U33)</f>
        <v>82.916666666666671</v>
      </c>
      <c r="D10" s="215">
        <f>SUM(P__!V33)</f>
        <v>45.283018867924532</v>
      </c>
      <c r="E10" s="215">
        <f>SUM(P__!W33)</f>
        <v>96.428571428571431</v>
      </c>
      <c r="F10" s="215">
        <f>SUMIF(P__!X33,"&gt;1",(P__!X33))</f>
        <v>96.428571428571431</v>
      </c>
      <c r="G10" s="215">
        <f>SUM(P__!Y33)</f>
        <v>98.165137614678898</v>
      </c>
      <c r="H10" s="215">
        <f>SUM(P__!Z33)</f>
        <v>88.059701492537314</v>
      </c>
      <c r="I10" s="370">
        <f>SUM(P__!AA33)</f>
        <v>97.5</v>
      </c>
      <c r="J10" s="219" t="s">
        <v>143</v>
      </c>
      <c r="K10" s="19">
        <f>RANK(I10,$I$4:$I$25,1)+COUNTIF($I$4:I10,I10)-1</f>
        <v>19</v>
      </c>
      <c r="L10" s="220" t="str">
        <f>INDEX(B4:I25,MATCH(7,K4:K25,0),1)</f>
        <v>Lesko</v>
      </c>
      <c r="M10" s="216">
        <f>INDEX(B4:I25,MATCH(7,K4:K25,0),8)</f>
        <v>89.743589743589752</v>
      </c>
    </row>
    <row r="11" spans="1:13" x14ac:dyDescent="0.25">
      <c r="A11" s="16">
        <v>8</v>
      </c>
      <c r="B11" s="7" t="s">
        <v>80</v>
      </c>
      <c r="C11" s="6">
        <f>SUM(P__!U35)</f>
        <v>91.017964071856284</v>
      </c>
      <c r="D11" s="6">
        <f>SUM(P__!V35)</f>
        <v>39.784946236559136</v>
      </c>
      <c r="E11" s="6">
        <f>SUM(P__!W35)</f>
        <v>93.181818181818173</v>
      </c>
      <c r="F11" s="6">
        <f>SUMIF(P__!X35,"&gt;1",(P__!X35))</f>
        <v>94.73684210526315</v>
      </c>
      <c r="G11" s="6">
        <f>SUM(P__!Y35)</f>
        <v>95.689655172413794</v>
      </c>
      <c r="H11" s="6">
        <f>SUM(P__!Z35)</f>
        <v>80</v>
      </c>
      <c r="I11" s="369">
        <f>SUM(P__!AA35)</f>
        <v>97.142857142857139</v>
      </c>
      <c r="J11" s="7">
        <v>1808</v>
      </c>
      <c r="K11" s="19">
        <f>RANK(I11,$I$4:$I$25,1)+COUNTIF($I$4:I11,I11)-1</f>
        <v>18</v>
      </c>
      <c r="L11" s="18" t="str">
        <f>INDEX(B4:I25,MATCH(8,K4:K25,0),1)</f>
        <v>Podkarpacie</v>
      </c>
      <c r="M11" s="6">
        <f>INDEX(B4:I25,MATCH(8,K4:K25,0),8)</f>
        <v>91.208791208791212</v>
      </c>
    </row>
    <row r="12" spans="1:13" x14ac:dyDescent="0.25">
      <c r="A12" s="16">
        <v>9</v>
      </c>
      <c r="B12" s="7" t="s">
        <v>81</v>
      </c>
      <c r="C12" s="6">
        <f>SUM(P__!U36)</f>
        <v>86.075949367088612</v>
      </c>
      <c r="D12" s="6">
        <f>SUM(P__!V36)</f>
        <v>50</v>
      </c>
      <c r="E12" s="6">
        <f>SUM(P__!W36)</f>
        <v>98.101265822784811</v>
      </c>
      <c r="F12" s="6">
        <f>SUMIF(P__!X36,"&gt;1",(P__!X36))</f>
        <v>100</v>
      </c>
      <c r="G12" s="6">
        <f>SUM(P__!Y36)</f>
        <v>84.05797101449275</v>
      </c>
      <c r="H12" s="431">
        <f>SUMIF(P__!Z36,"&gt;1",(P__!Z36))</f>
        <v>0</v>
      </c>
      <c r="I12" s="369">
        <f>SUM(P__!AA36)</f>
        <v>89.583333333333343</v>
      </c>
      <c r="J12" s="7">
        <v>1809</v>
      </c>
      <c r="K12" s="19">
        <f>RANK(I12,$I$4:$I$25,1)+COUNTIF($I$4:I12,I12)-1</f>
        <v>6</v>
      </c>
      <c r="L12" s="18" t="str">
        <f>INDEX(B4:I25,MATCH(9,K4:K25,0),1)</f>
        <v>Tarnobrzeg</v>
      </c>
      <c r="M12" s="6">
        <f>INDEX(B4:I25,MATCH(9,K4:K25,0),8)</f>
        <v>91.304347826086953</v>
      </c>
    </row>
    <row r="13" spans="1:13" x14ac:dyDescent="0.25">
      <c r="A13" s="16">
        <v>10</v>
      </c>
      <c r="B13" s="7" t="s">
        <v>82</v>
      </c>
      <c r="C13" s="6">
        <f>SUM(P__!U37)</f>
        <v>86.5625</v>
      </c>
      <c r="D13" s="6">
        <f>SUM(P__!V37)</f>
        <v>24.731182795698924</v>
      </c>
      <c r="E13" s="6">
        <f>SUM(P__!W37)</f>
        <v>99.350649350649363</v>
      </c>
      <c r="F13" s="6">
        <f>SUMIF(P__!X37,"&gt;1",(P__!X37))</f>
        <v>97.61904761904762</v>
      </c>
      <c r="G13" s="6">
        <f>SUM(P__!Y37)</f>
        <v>100</v>
      </c>
      <c r="H13" s="6">
        <f>SUM(P__!Z37)</f>
        <v>100</v>
      </c>
      <c r="I13" s="369">
        <f>SUM(P__!AA37)</f>
        <v>95.918367346938766</v>
      </c>
      <c r="J13" s="7">
        <v>1810</v>
      </c>
      <c r="K13" s="19">
        <f>RANK(I13,$I$4:$I$25,1)+COUNTIF($I$4:I13,I13)-1</f>
        <v>17</v>
      </c>
      <c r="L13" s="18" t="str">
        <f>INDEX(B4:I25,MATCH(10,K4:K25,0),1)</f>
        <v>Przemyśl</v>
      </c>
      <c r="M13" s="6">
        <f>INDEX(B4:I25,MATCH(10,K4:K25,0),8)</f>
        <v>91.304347826086953</v>
      </c>
    </row>
    <row r="14" spans="1:13" x14ac:dyDescent="0.25">
      <c r="A14" s="16">
        <v>11</v>
      </c>
      <c r="B14" s="7" t="s">
        <v>83</v>
      </c>
      <c r="C14" s="6">
        <f>SUM(P__!U38)</f>
        <v>87.341772151898738</v>
      </c>
      <c r="D14" s="6">
        <f>SUM(P__!V38)</f>
        <v>69.230769230769226</v>
      </c>
      <c r="E14" s="6">
        <f>SUM(P__!W38)</f>
        <v>84.063745019920319</v>
      </c>
      <c r="F14" s="6">
        <f>SUMIF(P__!X38,"&gt;1",(P__!X38))</f>
        <v>98.461538461538467</v>
      </c>
      <c r="G14" s="6">
        <f>SUM(P__!Y38)</f>
        <v>98.165137614678898</v>
      </c>
      <c r="H14" s="6">
        <f>SUM(P__!Z38)</f>
        <v>86.666666666666671</v>
      </c>
      <c r="I14" s="369">
        <f>SUM(P__!AA38)</f>
        <v>100</v>
      </c>
      <c r="J14" s="7">
        <v>1811</v>
      </c>
      <c r="K14" s="19">
        <f>RANK(I14,$I$4:$I$25,1)+COUNTIF($I$4:I14,I14)-1</f>
        <v>21</v>
      </c>
      <c r="L14" s="154" t="str">
        <f>INDEX(B4:I25,MATCH(11,K4:K25,0),1)</f>
        <v>Dębica</v>
      </c>
      <c r="M14" s="22">
        <f>INDEX(B4:I25,MATCH(11,K4:K25,0),8)</f>
        <v>91.428571428571431</v>
      </c>
    </row>
    <row r="15" spans="1:13" x14ac:dyDescent="0.25">
      <c r="A15" s="16">
        <v>12</v>
      </c>
      <c r="B15" s="7" t="s">
        <v>84</v>
      </c>
      <c r="C15" s="6">
        <f>SUM(P__!U39)</f>
        <v>75.786924939467312</v>
      </c>
      <c r="D15" s="6">
        <f>SUM(P__!V39)</f>
        <v>37.681159420289859</v>
      </c>
      <c r="E15" s="6">
        <f>SUM(P__!W39)</f>
        <v>86.797752808988761</v>
      </c>
      <c r="F15" s="6">
        <f>SUMIF(P__!X39,"&gt;1",(P__!X39))</f>
        <v>72.222222222222214</v>
      </c>
      <c r="G15" s="6">
        <f>SUM(P__!Y39)</f>
        <v>92.20779220779221</v>
      </c>
      <c r="H15" s="6">
        <f>SUM(P__!Z39)</f>
        <v>81.395348837209298</v>
      </c>
      <c r="I15" s="369">
        <f>SUM(P__!AA39)</f>
        <v>88.235294117647058</v>
      </c>
      <c r="J15" s="7">
        <v>1812</v>
      </c>
      <c r="K15" s="19">
        <f>RANK(I15,$I$4:$I$25,1)+COUNTIF($I$4:I15,I15)-1</f>
        <v>5</v>
      </c>
      <c r="L15" s="18" t="str">
        <f>INDEX(B4:I25,MATCH(12,K4:K25,0),1)</f>
        <v>Rzeszów</v>
      </c>
      <c r="M15" s="6">
        <f>INDEX(B4:I25,MATCH(12,K4:K25,0),8)</f>
        <v>91.428571428571431</v>
      </c>
    </row>
    <row r="16" spans="1:13" x14ac:dyDescent="0.25">
      <c r="A16" s="16">
        <v>13</v>
      </c>
      <c r="B16" s="7" t="s">
        <v>85</v>
      </c>
      <c r="C16" s="6">
        <f>SUM(P__!U40)</f>
        <v>78.01418439716312</v>
      </c>
      <c r="D16" s="6">
        <f>SUM(P__!V40)</f>
        <v>56.862745098039213</v>
      </c>
      <c r="E16" s="6">
        <f>SUM(P__!W40)</f>
        <v>89.562289562289564</v>
      </c>
      <c r="F16" s="6">
        <f>SUMIF(P__!X40,"&gt;1",(P__!X40))</f>
        <v>88.535031847133766</v>
      </c>
      <c r="G16" s="6">
        <f>SUM(P__!Y40)</f>
        <v>91.025641025641022</v>
      </c>
      <c r="H16" s="6">
        <f>SUM(P__!Z40)</f>
        <v>76.785714285714292</v>
      </c>
      <c r="I16" s="369">
        <f>SUM(P__!AA40)</f>
        <v>82.142857142857139</v>
      </c>
      <c r="J16" s="7">
        <v>1814</v>
      </c>
      <c r="K16" s="20">
        <f>RANK(I16,$I$4:$I$25,1)+COUNTIF($I$4:I16,I16)-1</f>
        <v>2</v>
      </c>
      <c r="L16" s="21" t="str">
        <f>INDEX(B4:I25,MATCH(13,K4:K25,0),1)</f>
        <v>Brzozów</v>
      </c>
      <c r="M16" s="6">
        <f>INDEX(B4:I25,MATCH(13,K4:K25,0),8)</f>
        <v>92.10526315789474</v>
      </c>
    </row>
    <row r="17" spans="1:13" x14ac:dyDescent="0.25">
      <c r="A17" s="16">
        <v>14</v>
      </c>
      <c r="B17" s="7" t="s">
        <v>86</v>
      </c>
      <c r="C17" s="6">
        <f>SUM(P__!U41)</f>
        <v>80.392156862745097</v>
      </c>
      <c r="D17" s="6">
        <f>SUM(P__!V41)</f>
        <v>77.272727272727266</v>
      </c>
      <c r="E17" s="6">
        <f>SUM(P__!W41)</f>
        <v>81.818181818181827</v>
      </c>
      <c r="F17" s="6">
        <f>SUMIF(P__!X41,"&gt;1",(P__!X41))</f>
        <v>92.957746478873233</v>
      </c>
      <c r="G17" s="6">
        <f>SUM(P__!Y41)</f>
        <v>92.125984251968504</v>
      </c>
      <c r="H17" s="6">
        <f>SUM(P__!Z41)</f>
        <v>82.022471910112358</v>
      </c>
      <c r="I17" s="369">
        <f>SUM(P__!AA41)</f>
        <v>85.714285714285708</v>
      </c>
      <c r="J17" s="7">
        <v>1815</v>
      </c>
      <c r="K17" s="20">
        <f>RANK(I17,$I$4:$I$25,1)+COUNTIF($I$4:I17,I17)-1</f>
        <v>3</v>
      </c>
      <c r="L17" s="21" t="str">
        <f>INDEX(B4:I25,MATCH(14,K4:K25,0),1)</f>
        <v>Sanok</v>
      </c>
      <c r="M17" s="6">
        <f>INDEX(B4:I25,MATCH(14,K4:K25,0),8)</f>
        <v>93.103448275862064</v>
      </c>
    </row>
    <row r="18" spans="1:13" x14ac:dyDescent="0.25">
      <c r="A18" s="218">
        <v>15</v>
      </c>
      <c r="B18" s="219" t="s">
        <v>87</v>
      </c>
      <c r="C18" s="215">
        <f>SUM(P__!U43)</f>
        <v>83.909574468085097</v>
      </c>
      <c r="D18" s="215">
        <f>SUM(P__!V43)</f>
        <v>55.313351498637594</v>
      </c>
      <c r="E18" s="215">
        <f>SUM(P__!W43)</f>
        <v>90.099009900990097</v>
      </c>
      <c r="F18" s="215">
        <f>SUMIF(P__!X43,"&gt;1",(P__!X43))</f>
        <v>82.051282051282044</v>
      </c>
      <c r="G18" s="215">
        <f>SUM(P__!Y43)</f>
        <v>97.206703910614522</v>
      </c>
      <c r="H18" s="215">
        <f>SUM(P__!Z43)</f>
        <v>91.803278688524586</v>
      </c>
      <c r="I18" s="370">
        <f>SUM(P__!AA43)</f>
        <v>91.428571428571431</v>
      </c>
      <c r="J18" s="219" t="s">
        <v>145</v>
      </c>
      <c r="K18" s="19">
        <f>RANK(I18,$I$4:$I$25,1)+COUNTIF($I$4:I18,I18)-1</f>
        <v>12</v>
      </c>
      <c r="L18" s="7" t="str">
        <f>INDEX(B4:I25,MATCH(15,K4:K25,0),1)</f>
        <v>Jasło</v>
      </c>
      <c r="M18" s="6">
        <f>INDEX(B4:I25,MATCH(15,K4:K25,0),8)</f>
        <v>93.333333333333329</v>
      </c>
    </row>
    <row r="19" spans="1:13" x14ac:dyDescent="0.25">
      <c r="A19" s="16">
        <v>16</v>
      </c>
      <c r="B19" s="7" t="s">
        <v>88</v>
      </c>
      <c r="C19" s="6">
        <f>SUM(P__!U44)</f>
        <v>85.561497326203209</v>
      </c>
      <c r="D19" s="6">
        <f>SUM(P__!V44)</f>
        <v>55.833333333333336</v>
      </c>
      <c r="E19" s="6">
        <f>SUM(P__!W44)</f>
        <v>93.75</v>
      </c>
      <c r="F19" s="6">
        <f>SUMIF(P__!X44,"&gt;1",(P__!X44))</f>
        <v>100</v>
      </c>
      <c r="G19" s="6">
        <f>SUM(P__!Y44)</f>
        <v>100</v>
      </c>
      <c r="H19" s="6">
        <f>SUM(P__!Z44)</f>
        <v>94.230769230769226</v>
      </c>
      <c r="I19" s="369">
        <f>SUM(P__!AA44)</f>
        <v>93.103448275862064</v>
      </c>
      <c r="J19" s="7">
        <v>1817</v>
      </c>
      <c r="K19" s="19">
        <f>RANK(I19,$I$4:$I$25,1)+COUNTIF($I$4:I19,I19)-1</f>
        <v>14</v>
      </c>
      <c r="L19" s="7" t="str">
        <f>INDEX(B4:I25,MATCH(16,K4:K25,0),1)</f>
        <v>Stalowa Wola</v>
      </c>
      <c r="M19" s="6">
        <f>INDEX(B4:I25,MATCH(16,K4:K25,0),8)</f>
        <v>94.444444444444443</v>
      </c>
    </row>
    <row r="20" spans="1:13" x14ac:dyDescent="0.25">
      <c r="A20" s="16">
        <v>17</v>
      </c>
      <c r="B20" s="7" t="s">
        <v>89</v>
      </c>
      <c r="C20" s="6">
        <f>SUM(P__!U45)</f>
        <v>82.392026578073086</v>
      </c>
      <c r="D20" s="6">
        <f>SUM(P__!V45)</f>
        <v>68.387096774193552</v>
      </c>
      <c r="E20" s="6">
        <f>SUM(P__!W45)</f>
        <v>99.236641221374043</v>
      </c>
      <c r="F20" s="6">
        <f>SUMIF(P__!X45,"&gt;1",(P__!X45))</f>
        <v>92.592592592592595</v>
      </c>
      <c r="G20" s="6">
        <f>SUM(P__!Y45)</f>
        <v>88.659793814432987</v>
      </c>
      <c r="H20" s="6">
        <f>SUM(P__!Z45)</f>
        <v>96.296296296296291</v>
      </c>
      <c r="I20" s="369">
        <f>SUM(P__!AA45)</f>
        <v>94.444444444444443</v>
      </c>
      <c r="J20" s="7">
        <v>1818</v>
      </c>
      <c r="K20" s="19">
        <f>RANK(I20,$I$4:$I$25,1)+COUNTIF($I$4:I20,I20)-1</f>
        <v>16</v>
      </c>
      <c r="L20" s="7" t="str">
        <f>INDEX(B4:I25,MATCH(17,K4:K25,0),1)</f>
        <v>Łańcut</v>
      </c>
      <c r="M20" s="6">
        <f>INDEX(B4:I25,MATCH(17,K4:K25,0),8)</f>
        <v>95.918367346938766</v>
      </c>
    </row>
    <row r="21" spans="1:13" x14ac:dyDescent="0.25">
      <c r="A21" s="16">
        <v>18</v>
      </c>
      <c r="B21" s="7" t="s">
        <v>90</v>
      </c>
      <c r="C21" s="6">
        <f>SUM(P__!U46)</f>
        <v>88.103448275862078</v>
      </c>
      <c r="D21" s="6">
        <f>SUM(P__!V46)</f>
        <v>57.692307692307686</v>
      </c>
      <c r="E21" s="6">
        <f>SUM(P__!W46)</f>
        <v>96.491228070175438</v>
      </c>
      <c r="F21" s="6">
        <f>SUMIF(P__!X46,"&gt;1",(P__!X46))</f>
        <v>100</v>
      </c>
      <c r="G21" s="6">
        <f>SUM(P__!Y46)</f>
        <v>96.590909090909093</v>
      </c>
      <c r="H21" s="6">
        <f>SUM(P__!Z46)</f>
        <v>91.379310344827587</v>
      </c>
      <c r="I21" s="369">
        <f>SUM(P__!AA46)</f>
        <v>100</v>
      </c>
      <c r="J21" s="7">
        <v>1819</v>
      </c>
      <c r="K21" s="19">
        <f>RANK(I21,$I$4:$I$25,1)+COUNTIF($I$4:I21,I21)-1</f>
        <v>22</v>
      </c>
      <c r="L21" s="7" t="str">
        <f>INDEX(B4:I25,MATCH(18,K4:K25,0),1)</f>
        <v>Leżajsk</v>
      </c>
      <c r="M21" s="6">
        <f>INDEX(B4:I25,MATCH(18,K4:K25,0),8)</f>
        <v>97.142857142857139</v>
      </c>
    </row>
    <row r="22" spans="1:13" x14ac:dyDescent="0.25">
      <c r="A22" s="218">
        <v>19</v>
      </c>
      <c r="B22" s="219" t="s">
        <v>91</v>
      </c>
      <c r="C22" s="215">
        <f>SUM(P__!U47)</f>
        <v>91.21621621621621</v>
      </c>
      <c r="D22" s="215">
        <f>SUM(P__!V47)</f>
        <v>37.142857142857146</v>
      </c>
      <c r="E22" s="215">
        <f>SUM(P__!W47)</f>
        <v>96.385542168674704</v>
      </c>
      <c r="F22" s="215">
        <f>SUMIF(P__!X47,"&gt;1",(P__!X47))</f>
        <v>97.132616487455195</v>
      </c>
      <c r="G22" s="215">
        <f>SUM(P__!Y47)</f>
        <v>100</v>
      </c>
      <c r="H22" s="215">
        <f>SUM(P__!Z47)</f>
        <v>100</v>
      </c>
      <c r="I22" s="370">
        <f>SUM(P__!AA47)</f>
        <v>91.304347826086953</v>
      </c>
      <c r="J22" s="219" t="s">
        <v>146</v>
      </c>
      <c r="K22" s="19">
        <f>RANK(I22,$I$4:$I$25,1)+COUNTIF($I$4:I22,I22)-1</f>
        <v>9</v>
      </c>
      <c r="L22" s="7" t="str">
        <f>INDEX(B4:I25,MATCH(19,K4:K25,0),1)</f>
        <v>Krosno</v>
      </c>
      <c r="M22" s="6">
        <f>INDEX(B4:I25,MATCH(19,K4:K25,0),8)</f>
        <v>97.5</v>
      </c>
    </row>
    <row r="23" spans="1:13" x14ac:dyDescent="0.25">
      <c r="A23" s="16">
        <v>20</v>
      </c>
      <c r="B23" s="7" t="s">
        <v>92</v>
      </c>
      <c r="C23" s="6">
        <f>SUM(P__!U48)</f>
        <v>83.185840707964601</v>
      </c>
      <c r="D23" s="6">
        <f>SUM(P__!V48)</f>
        <v>90</v>
      </c>
      <c r="E23" s="6">
        <f>SUM(P__!W48)</f>
        <v>94.594594594594597</v>
      </c>
      <c r="F23" s="6">
        <f>SUMIF(P__!X48,"&gt;1",(P__!X48))</f>
        <v>83.333333333333343</v>
      </c>
      <c r="G23" s="6">
        <f>SUM(P__!Y48)</f>
        <v>82.857142857142861</v>
      </c>
      <c r="H23" s="6">
        <f>SUM(P__!Z48)</f>
        <v>100</v>
      </c>
      <c r="I23" s="369">
        <f>SUM(P__!AA48)</f>
        <v>89.743589743589752</v>
      </c>
      <c r="J23" s="7">
        <v>1821</v>
      </c>
      <c r="K23" s="19">
        <f>RANK(I23,$I$4:$I$25,1)+COUNTIF($I$4:I23,I23)-1</f>
        <v>7</v>
      </c>
      <c r="L23" s="7" t="str">
        <f>INDEX(B4:I25,MATCH(20,K4:K25,0),1)</f>
        <v>Kolbuszowa</v>
      </c>
      <c r="M23" s="6">
        <f>INDEX(B4:I25,MATCH(20,K4:K25,0),8)</f>
        <v>100</v>
      </c>
    </row>
    <row r="24" spans="1:13" x14ac:dyDescent="0.25">
      <c r="A24" s="218">
        <v>21</v>
      </c>
      <c r="B24" s="219" t="s">
        <v>97</v>
      </c>
      <c r="C24" s="215">
        <f>SUM(P__!U49)</f>
        <v>85.784313725490193</v>
      </c>
      <c r="D24" s="215">
        <f>SUM(P__!V49)</f>
        <v>44.776119402985074</v>
      </c>
      <c r="E24" s="215">
        <f>SUM(P__!W49)</f>
        <v>97.628458498023718</v>
      </c>
      <c r="F24" s="215">
        <f>SUMIF(P__!X49,"&gt;1",(P__!X49))</f>
        <v>94.85294117647058</v>
      </c>
      <c r="G24" s="215">
        <f>SUM(P__!Y49)</f>
        <v>89.65517241379311</v>
      </c>
      <c r="H24" s="215">
        <f>SUM(P__!Z49)</f>
        <v>81.818181818181827</v>
      </c>
      <c r="I24" s="370">
        <f>SUM(P__!AA49)</f>
        <v>91.304347826086953</v>
      </c>
      <c r="J24" s="219" t="s">
        <v>144</v>
      </c>
      <c r="K24" s="19">
        <f>RANK(I24,$I$4:$I$25,1)+COUNTIF($I$4:I24,I24)-1</f>
        <v>10</v>
      </c>
      <c r="L24" s="7" t="str">
        <f>INDEX(B4:I25,MATCH(21,K4:K25,0),1)</f>
        <v>Mielec</v>
      </c>
      <c r="M24" s="6">
        <f>INDEX(B4:I25,MATCH(21,K4:K25,0),8)</f>
        <v>100</v>
      </c>
    </row>
    <row r="25" spans="1:13" x14ac:dyDescent="0.25">
      <c r="A25" s="16">
        <v>22</v>
      </c>
      <c r="B25" s="18" t="s">
        <v>100</v>
      </c>
      <c r="C25" s="6">
        <f>SUM(P__!U50)</f>
        <v>85.071629401526309</v>
      </c>
      <c r="D25" s="6">
        <f>SUM(P__!V50)</f>
        <v>52.031978680879412</v>
      </c>
      <c r="E25" s="6">
        <f>SUM(P__!W50)</f>
        <v>93.357320786050366</v>
      </c>
      <c r="F25" s="6">
        <f>SUMIF(P__!X50,"&gt;1",(P__!X50))</f>
        <v>94.23585404547859</v>
      </c>
      <c r="G25" s="6">
        <f>SUM(P__!Y50)</f>
        <v>95.395869191049911</v>
      </c>
      <c r="H25" s="6">
        <f>SUM(P__!Z50)</f>
        <v>90.28831562974203</v>
      </c>
      <c r="I25" s="369">
        <f>SUM(P__!AA50)</f>
        <v>91.208791208791212</v>
      </c>
      <c r="J25" s="7">
        <v>1800</v>
      </c>
      <c r="K25" s="19">
        <f>RANK(I25,$I$4:$I$25,1)+COUNTIF($I$4:I25,I25)-1</f>
        <v>8</v>
      </c>
      <c r="L25" s="7" t="str">
        <f>INDEX(B4:I25,MATCH(22,K4:K25,0),1)</f>
        <v>Strzyżów</v>
      </c>
      <c r="M25" s="6">
        <f>INDEX(B4:I25,MATCH(22,K4:K25,0),8)</f>
        <v>100</v>
      </c>
    </row>
    <row r="26" spans="1:13" x14ac:dyDescent="0.25">
      <c r="B26" s="10"/>
      <c r="C26" s="10">
        <v>1</v>
      </c>
      <c r="D26" s="10">
        <v>2</v>
      </c>
      <c r="E26" s="10">
        <v>3</v>
      </c>
      <c r="F26" s="10">
        <v>4</v>
      </c>
      <c r="G26" s="10">
        <v>5</v>
      </c>
      <c r="H26" s="10">
        <v>6</v>
      </c>
      <c r="I26" s="10">
        <v>7</v>
      </c>
    </row>
    <row r="27" spans="1:13" x14ac:dyDescent="0.25">
      <c r="A27" s="16">
        <v>1</v>
      </c>
      <c r="B27" s="17" t="s">
        <v>1</v>
      </c>
      <c r="C27" s="15" t="s">
        <v>152</v>
      </c>
    </row>
    <row r="28" spans="1:13" x14ac:dyDescent="0.25">
      <c r="A28" s="16">
        <v>2</v>
      </c>
      <c r="B28" s="17" t="s">
        <v>2</v>
      </c>
      <c r="C28" s="15" t="s">
        <v>152</v>
      </c>
      <c r="D28" s="30"/>
      <c r="E28" s="30"/>
      <c r="F28" s="30"/>
      <c r="G28" s="30"/>
      <c r="H28" s="30"/>
      <c r="I28" s="30"/>
      <c r="J28" s="30"/>
      <c r="K28" s="26"/>
      <c r="L28" s="30"/>
    </row>
    <row r="29" spans="1:13" x14ac:dyDescent="0.25">
      <c r="A29" s="16">
        <v>3</v>
      </c>
      <c r="B29" s="17" t="s">
        <v>3</v>
      </c>
      <c r="C29" s="15" t="s">
        <v>152</v>
      </c>
      <c r="D29" s="26"/>
      <c r="E29" s="26"/>
      <c r="F29" s="26"/>
      <c r="G29" s="26"/>
      <c r="H29" s="26"/>
      <c r="I29" s="26"/>
      <c r="J29" s="30"/>
      <c r="K29" s="30"/>
      <c r="L29" s="30"/>
    </row>
    <row r="30" spans="1:13" x14ac:dyDescent="0.25">
      <c r="A30" s="16">
        <v>4</v>
      </c>
      <c r="B30" s="17" t="s">
        <v>4</v>
      </c>
      <c r="C30" s="15" t="s">
        <v>152</v>
      </c>
    </row>
    <row r="31" spans="1:13" x14ac:dyDescent="0.25">
      <c r="A31" s="16">
        <v>5</v>
      </c>
      <c r="B31" s="17" t="s">
        <v>16</v>
      </c>
      <c r="C31" s="15" t="s">
        <v>152</v>
      </c>
    </row>
    <row r="32" spans="1:13" x14ac:dyDescent="0.25">
      <c r="A32" s="16">
        <v>6</v>
      </c>
      <c r="B32" s="17" t="s">
        <v>17</v>
      </c>
      <c r="C32" s="15" t="s">
        <v>152</v>
      </c>
    </row>
    <row r="33" spans="1:3" x14ac:dyDescent="0.25">
      <c r="A33" s="348">
        <v>7</v>
      </c>
      <c r="B33" s="368" t="s">
        <v>11</v>
      </c>
      <c r="C33" s="15" t="s">
        <v>152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3D440-A18C-4070-B38B-593C08AEA287}">
  <dimension ref="B2:G16"/>
  <sheetViews>
    <sheetView workbookViewId="0">
      <selection activeCell="B1" sqref="B1"/>
    </sheetView>
  </sheetViews>
  <sheetFormatPr defaultRowHeight="12.75" x14ac:dyDescent="0.2"/>
  <cols>
    <col min="1" max="1" width="3.140625" style="158" customWidth="1"/>
    <col min="2" max="2" width="22.85546875" style="158" customWidth="1"/>
    <col min="3" max="6" width="10.85546875" style="158" customWidth="1"/>
    <col min="7" max="7" width="25.28515625" style="158" customWidth="1"/>
    <col min="8" max="16384" width="9.140625" style="158"/>
  </cols>
  <sheetData>
    <row r="2" spans="2:7" ht="15" customHeight="1" x14ac:dyDescent="0.2">
      <c r="B2" s="594" t="s">
        <v>56</v>
      </c>
      <c r="C2" s="642" t="s">
        <v>398</v>
      </c>
      <c r="D2" s="642"/>
      <c r="E2" s="646" t="s">
        <v>69</v>
      </c>
      <c r="F2" s="646"/>
      <c r="G2" s="595" t="s">
        <v>170</v>
      </c>
    </row>
    <row r="3" spans="2:7" x14ac:dyDescent="0.2">
      <c r="B3" s="596" t="s">
        <v>57</v>
      </c>
      <c r="C3" s="643" t="s">
        <v>422</v>
      </c>
      <c r="D3" s="643"/>
      <c r="E3" s="647" t="s">
        <v>423</v>
      </c>
      <c r="F3" s="647"/>
      <c r="G3" s="597" t="s">
        <v>171</v>
      </c>
    </row>
    <row r="4" spans="2:7" x14ac:dyDescent="0.2">
      <c r="B4" s="598"/>
      <c r="C4" s="644"/>
      <c r="D4" s="644"/>
      <c r="E4" s="643" t="s">
        <v>417</v>
      </c>
      <c r="F4" s="643"/>
      <c r="G4" s="597" t="s">
        <v>419</v>
      </c>
    </row>
    <row r="5" spans="2:7" x14ac:dyDescent="0.2">
      <c r="B5" s="598"/>
      <c r="C5" s="645"/>
      <c r="D5" s="645"/>
      <c r="E5" s="648" t="s">
        <v>418</v>
      </c>
      <c r="F5" s="648"/>
      <c r="G5" s="596" t="s">
        <v>420</v>
      </c>
    </row>
    <row r="6" spans="2:7" x14ac:dyDescent="0.2">
      <c r="B6" s="599"/>
      <c r="C6" s="589">
        <v>2021</v>
      </c>
      <c r="D6" s="589">
        <v>2022</v>
      </c>
      <c r="E6" s="589">
        <v>2021</v>
      </c>
      <c r="F6" s="589">
        <v>2022</v>
      </c>
      <c r="G6" s="600" t="s">
        <v>421</v>
      </c>
    </row>
    <row r="7" spans="2:7" ht="25.5" customHeight="1" x14ac:dyDescent="0.2">
      <c r="B7" s="590" t="s">
        <v>2</v>
      </c>
      <c r="C7" s="592">
        <v>3462.5</v>
      </c>
      <c r="D7" s="592">
        <v>5662.5</v>
      </c>
      <c r="E7" s="592">
        <v>6620.4</v>
      </c>
      <c r="F7" s="592">
        <v>7250.3</v>
      </c>
      <c r="G7" s="603">
        <f>SUM(F7)-E7</f>
        <v>629.90000000000055</v>
      </c>
    </row>
    <row r="8" spans="2:7" ht="30" customHeight="1" x14ac:dyDescent="0.2">
      <c r="B8" s="590" t="s">
        <v>1</v>
      </c>
      <c r="C8" s="592">
        <v>72411.5</v>
      </c>
      <c r="D8" s="592">
        <v>82696.3</v>
      </c>
      <c r="E8" s="592">
        <v>12296.1</v>
      </c>
      <c r="F8" s="592">
        <v>13014.8</v>
      </c>
      <c r="G8" s="603">
        <f t="shared" ref="G8:G16" si="0">SUM(F8)-E8</f>
        <v>718.69999999999891</v>
      </c>
    </row>
    <row r="9" spans="2:7" ht="21.75" customHeight="1" x14ac:dyDescent="0.2">
      <c r="B9" s="590" t="s">
        <v>3</v>
      </c>
      <c r="C9" s="592">
        <v>25483.7</v>
      </c>
      <c r="D9" s="592">
        <v>29417.7</v>
      </c>
      <c r="E9" s="592">
        <v>9114.2999999999993</v>
      </c>
      <c r="F9" s="592">
        <v>8721.5</v>
      </c>
      <c r="G9" s="605">
        <f t="shared" si="0"/>
        <v>-392.79999999999927</v>
      </c>
    </row>
    <row r="10" spans="2:7" ht="25.5" customHeight="1" x14ac:dyDescent="0.2">
      <c r="B10" s="590" t="s">
        <v>4</v>
      </c>
      <c r="C10" s="592">
        <v>20822.3</v>
      </c>
      <c r="D10" s="592">
        <v>30695.200000000001</v>
      </c>
      <c r="E10" s="592">
        <v>14002.9</v>
      </c>
      <c r="F10" s="592">
        <v>17225.099999999999</v>
      </c>
      <c r="G10" s="603">
        <f t="shared" si="0"/>
        <v>3222.1999999999989</v>
      </c>
    </row>
    <row r="11" spans="2:7" ht="32.25" customHeight="1" x14ac:dyDescent="0.2">
      <c r="B11" s="590" t="s">
        <v>58</v>
      </c>
      <c r="C11" s="592">
        <v>50336.9</v>
      </c>
      <c r="D11" s="592">
        <v>64698.1</v>
      </c>
      <c r="E11" s="592">
        <v>31879</v>
      </c>
      <c r="F11" s="592">
        <v>29182.7</v>
      </c>
      <c r="G11" s="605">
        <f t="shared" si="0"/>
        <v>-2696.2999999999993</v>
      </c>
    </row>
    <row r="12" spans="2:7" ht="25.5" x14ac:dyDescent="0.2">
      <c r="B12" s="601" t="s">
        <v>401</v>
      </c>
      <c r="C12" s="649">
        <v>42932.4</v>
      </c>
      <c r="D12" s="649">
        <v>63169.599999999999</v>
      </c>
      <c r="E12" s="649">
        <v>29547.4</v>
      </c>
      <c r="F12" s="649">
        <v>53083.7</v>
      </c>
      <c r="G12" s="650">
        <f t="shared" si="0"/>
        <v>23536.299999999996</v>
      </c>
    </row>
    <row r="13" spans="2:7" ht="25.5" x14ac:dyDescent="0.2">
      <c r="B13" s="602" t="s">
        <v>402</v>
      </c>
      <c r="C13" s="649"/>
      <c r="D13" s="649"/>
      <c r="E13" s="649"/>
      <c r="F13" s="649"/>
      <c r="G13" s="650">
        <f t="shared" si="0"/>
        <v>0</v>
      </c>
    </row>
    <row r="14" spans="2:7" ht="30.75" customHeight="1" x14ac:dyDescent="0.2">
      <c r="B14" s="590" t="s">
        <v>11</v>
      </c>
      <c r="C14" s="592">
        <v>8086.5</v>
      </c>
      <c r="D14" s="592">
        <v>10240.799999999999</v>
      </c>
      <c r="E14" s="592">
        <v>9359.4</v>
      </c>
      <c r="F14" s="592">
        <v>11216.6</v>
      </c>
      <c r="G14" s="604">
        <f t="shared" si="0"/>
        <v>1857.2000000000007</v>
      </c>
    </row>
    <row r="15" spans="2:7" ht="28.5" customHeight="1" x14ac:dyDescent="0.2">
      <c r="B15" s="591" t="s">
        <v>403</v>
      </c>
      <c r="C15" s="593">
        <v>215449.3</v>
      </c>
      <c r="D15" s="593">
        <v>276339.5</v>
      </c>
      <c r="E15" s="593">
        <v>15695.3</v>
      </c>
      <c r="F15" s="593">
        <v>17604.599999999999</v>
      </c>
      <c r="G15" s="593">
        <f t="shared" si="0"/>
        <v>1909.2999999999993</v>
      </c>
    </row>
    <row r="16" spans="2:7" ht="32.25" customHeight="1" x14ac:dyDescent="0.2">
      <c r="B16" s="591" t="s">
        <v>404</v>
      </c>
      <c r="C16" s="593">
        <v>223535.8</v>
      </c>
      <c r="D16" s="593">
        <v>286580.3</v>
      </c>
      <c r="E16" s="593">
        <v>15320.1</v>
      </c>
      <c r="F16" s="593">
        <v>17253.5</v>
      </c>
      <c r="G16" s="593">
        <f t="shared" si="0"/>
        <v>1933.3999999999996</v>
      </c>
    </row>
  </sheetData>
  <mergeCells count="13">
    <mergeCell ref="C12:C13"/>
    <mergeCell ref="D12:D13"/>
    <mergeCell ref="E12:E13"/>
    <mergeCell ref="F12:F13"/>
    <mergeCell ref="G12:G13"/>
    <mergeCell ref="C2:D2"/>
    <mergeCell ref="C3:D3"/>
    <mergeCell ref="C4:D4"/>
    <mergeCell ref="C5:D5"/>
    <mergeCell ref="E2:F2"/>
    <mergeCell ref="E3:F3"/>
    <mergeCell ref="E4:F4"/>
    <mergeCell ref="E5:F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usz17">
    <tabColor theme="5" tint="-0.249977111117893"/>
    <pageSetUpPr fitToPage="1"/>
  </sheetPr>
  <dimension ref="A1:F26"/>
  <sheetViews>
    <sheetView zoomScale="110" zoomScaleNormal="110" workbookViewId="0">
      <selection activeCell="B1" sqref="B1"/>
    </sheetView>
  </sheetViews>
  <sheetFormatPr defaultRowHeight="15" x14ac:dyDescent="0.25"/>
  <cols>
    <col min="1" max="1" width="2.140625" style="10" customWidth="1"/>
    <col min="2" max="2" width="42.28515625" style="15" customWidth="1"/>
    <col min="3" max="3" width="13.85546875" style="15" customWidth="1"/>
    <col min="4" max="4" width="6.140625" style="15" customWidth="1"/>
    <col min="5" max="5" width="3" style="26" customWidth="1"/>
    <col min="6" max="6" width="35.5703125" style="15" customWidth="1"/>
    <col min="7" max="7" width="11.5703125" style="15" customWidth="1"/>
    <col min="8" max="16384" width="9.140625" style="15"/>
  </cols>
  <sheetData>
    <row r="1" spans="2:6" ht="15.75" customHeight="1" x14ac:dyDescent="0.25">
      <c r="B1" s="15" t="s">
        <v>384</v>
      </c>
    </row>
    <row r="2" spans="2:6" ht="16.5" customHeight="1" x14ac:dyDescent="0.25">
      <c r="B2" s="477" t="s">
        <v>56</v>
      </c>
      <c r="C2" s="477" t="s">
        <v>69</v>
      </c>
      <c r="D2" s="477" t="s">
        <v>71</v>
      </c>
      <c r="E2" s="53"/>
      <c r="F2" s="26"/>
    </row>
    <row r="3" spans="2:6" x14ac:dyDescent="0.25">
      <c r="B3" s="478" t="s">
        <v>57</v>
      </c>
      <c r="C3" s="478" t="s">
        <v>70</v>
      </c>
      <c r="D3" s="478"/>
      <c r="E3" s="53"/>
      <c r="F3" s="26"/>
    </row>
    <row r="4" spans="2:6" x14ac:dyDescent="0.25">
      <c r="B4" s="479"/>
      <c r="C4" s="480" t="s">
        <v>68</v>
      </c>
      <c r="D4" s="480"/>
      <c r="E4" s="54"/>
      <c r="F4" s="26"/>
    </row>
    <row r="5" spans="2:6" x14ac:dyDescent="0.25">
      <c r="B5" s="27" t="str">
        <f>T(P__!L26)</f>
        <v>staże</v>
      </c>
      <c r="C5" s="24">
        <f>SUM(P__!L50)</f>
        <v>13014.846298394708</v>
      </c>
      <c r="D5" s="19">
        <f>RANK(C5,C5:C13)</f>
        <v>6</v>
      </c>
      <c r="E5" s="55"/>
      <c r="F5" s="26"/>
    </row>
    <row r="6" spans="2:6" ht="12.75" customHeight="1" x14ac:dyDescent="0.25">
      <c r="B6" s="23" t="str">
        <f>T(P__!M26)</f>
        <v>szkolenia</v>
      </c>
      <c r="C6" s="24">
        <f>SUM(P__!M50)</f>
        <v>7250.3362483994879</v>
      </c>
      <c r="D6" s="25">
        <f>RANK(C6,C5:C13)</f>
        <v>9</v>
      </c>
      <c r="E6" s="56"/>
      <c r="F6" s="26"/>
    </row>
    <row r="7" spans="2:6" ht="12" customHeight="1" x14ac:dyDescent="0.25">
      <c r="B7" s="23" t="str">
        <f>T(P__!N26)</f>
        <v>prace interw.</v>
      </c>
      <c r="C7" s="24">
        <f>SUM(P__!N50)</f>
        <v>8721.5238630299427</v>
      </c>
      <c r="D7" s="25">
        <f>RANK(C7,C5:C13)</f>
        <v>8</v>
      </c>
      <c r="E7" s="56"/>
      <c r="F7" s="26"/>
    </row>
    <row r="8" spans="2:6" ht="12.75" customHeight="1" x14ac:dyDescent="0.25">
      <c r="B8" s="23" t="str">
        <f>T(P__!O26)</f>
        <v>roboty publ.</v>
      </c>
      <c r="C8" s="24">
        <f>SUM(P__!O50)</f>
        <v>17225.128580246917</v>
      </c>
      <c r="D8" s="25">
        <f>RANK(C8,C5:C13)</f>
        <v>5</v>
      </c>
      <c r="E8" s="56"/>
      <c r="F8" s="26"/>
    </row>
    <row r="9" spans="2:6" ht="12.75" customHeight="1" x14ac:dyDescent="0.25">
      <c r="B9" s="23" t="str">
        <f>T(P__!P26)</f>
        <v>dof. działaln.</v>
      </c>
      <c r="C9" s="24">
        <f>SUM(P__!P50)</f>
        <v>29182.742895805139</v>
      </c>
      <c r="D9" s="25">
        <f>RANK(C9,C5:C13)</f>
        <v>2</v>
      </c>
      <c r="E9" s="56"/>
      <c r="F9" s="26"/>
    </row>
    <row r="10" spans="2:6" ht="14.25" customHeight="1" x14ac:dyDescent="0.25">
      <c r="B10" s="23" t="str">
        <f>T(P__!Q26)</f>
        <v>refund. koszt.</v>
      </c>
      <c r="C10" s="24">
        <f>SUM(P__!Q50)</f>
        <v>53083.715462184882</v>
      </c>
      <c r="D10" s="25">
        <f>RANK(C10,C5:C13)</f>
        <v>1</v>
      </c>
      <c r="E10" s="56"/>
      <c r="F10" s="26"/>
    </row>
    <row r="11" spans="2:6" ht="14.25" customHeight="1" x14ac:dyDescent="0.25">
      <c r="B11" s="23" t="str">
        <f>T(P__!R26)</f>
        <v>bon na zas.</v>
      </c>
      <c r="C11" s="24">
        <f>SUM(P__!R50)</f>
        <v>11216.649255202628</v>
      </c>
      <c r="D11" s="25">
        <f>RANK(C11,C5:C13)</f>
        <v>7</v>
      </c>
      <c r="E11" s="56"/>
      <c r="F11" s="26"/>
    </row>
    <row r="12" spans="2:6" ht="13.5" customHeight="1" x14ac:dyDescent="0.25">
      <c r="B12" s="468" t="str">
        <f>T(P__!K25)</f>
        <v>7 Podst. form - efektywność  kosztowa tj. koszt ponownego zatrud.,  w zł. średni na 1 osobę zatr. po zak. prog.</v>
      </c>
      <c r="C12" s="469">
        <f>SUM(P__!AD24+P__!AE24+P__!AF24+P__!AG24+P__!AH24+P__!AI24+P__!AJ24)/(P__!U24+P__!V24+P__!W24+P__!X24+P__!Y24+P__!Z24+P__!AA24)</f>
        <v>17253.479125827813</v>
      </c>
      <c r="D12" s="470">
        <f>RANK(C12,C5:C13)</f>
        <v>4</v>
      </c>
      <c r="E12" s="56"/>
      <c r="F12" s="26"/>
    </row>
    <row r="13" spans="2:6" ht="45" x14ac:dyDescent="0.25">
      <c r="B13" s="471" t="str">
        <f>T(P__!K51)</f>
        <v>6 Podst. form - efektywność  kosztowa tj. koszt ponownego zatrud.,  w zł. średni na 1 osobę zatr. po zak. prog.</v>
      </c>
      <c r="C13" s="469">
        <f>SUM(P__!AD24+P__!AE24+P__!AF24+P__!AG24+P__!AH24+P__!AI24)/(P__!U24+P__!V24+P__!W24+P__!X24+P__!Y24+P__!Z24)</f>
        <v>17604.605179970695</v>
      </c>
      <c r="D13" s="470">
        <f>RANK(C13,C5:C13)</f>
        <v>3</v>
      </c>
    </row>
    <row r="15" spans="2:6" x14ac:dyDescent="0.25">
      <c r="B15" s="253" t="str">
        <f>T(B1)</f>
        <v>Efektywnosć kosztowa w 2022 r.</v>
      </c>
    </row>
    <row r="16" spans="2:6" x14ac:dyDescent="0.25">
      <c r="B16" s="474" t="s">
        <v>56</v>
      </c>
      <c r="C16" s="474" t="s">
        <v>69</v>
      </c>
    </row>
    <row r="17" spans="2:3" x14ac:dyDescent="0.25">
      <c r="B17" s="475" t="s">
        <v>57</v>
      </c>
      <c r="C17" s="475" t="s">
        <v>70</v>
      </c>
    </row>
    <row r="18" spans="2:3" x14ac:dyDescent="0.25">
      <c r="B18" s="476"/>
      <c r="C18" s="476" t="s">
        <v>68</v>
      </c>
    </row>
    <row r="19" spans="2:3" x14ac:dyDescent="0.25">
      <c r="B19" s="36" t="str">
        <f>INDEX(B5:C13,MATCH(1,D5:D13,0),1)</f>
        <v>refund. koszt.</v>
      </c>
      <c r="C19" s="35">
        <f>INDEX(B5:C13,MATCH(1,D5:D13,0),2)</f>
        <v>53083.715462184882</v>
      </c>
    </row>
    <row r="20" spans="2:3" x14ac:dyDescent="0.25">
      <c r="B20" s="37" t="str">
        <f>INDEX(B5:C13,MATCH(2,D5:D13,0),1)</f>
        <v>dof. działaln.</v>
      </c>
      <c r="C20" s="35">
        <f>INDEX(B5:C13,MATCH(2,D5:D13,0),2)</f>
        <v>29182.742895805139</v>
      </c>
    </row>
    <row r="21" spans="2:3" ht="33" customHeight="1" x14ac:dyDescent="0.25">
      <c r="B21" s="472" t="str">
        <f>INDEX(B5:C13,MATCH(3,D5:D13,0),1)</f>
        <v>6 Podst. form - efektywność  kosztowa tj. koszt ponownego zatrud.,  w zł. średni na 1 osobę zatr. po zak. prog.</v>
      </c>
      <c r="C21" s="473">
        <f>INDEX(B5:C13,MATCH(3,D5:D13,0),2)</f>
        <v>17604.605179970695</v>
      </c>
    </row>
    <row r="22" spans="2:3" ht="33" customHeight="1" x14ac:dyDescent="0.25">
      <c r="B22" s="472" t="str">
        <f>INDEX(B5:C13,MATCH(4,D5:D13,0),1)</f>
        <v>7 Podst. form - efektywność  kosztowa tj. koszt ponownego zatrud.,  w zł. średni na 1 osobę zatr. po zak. prog.</v>
      </c>
      <c r="C22" s="473">
        <f>INDEX(B5:C13,MATCH(4,D5:D13,0),2)</f>
        <v>17253.479125827813</v>
      </c>
    </row>
    <row r="23" spans="2:3" x14ac:dyDescent="0.25">
      <c r="B23" s="37" t="str">
        <f>INDEX(B5:C13,MATCH(5,D5:D13,0),1)</f>
        <v>roboty publ.</v>
      </c>
      <c r="C23" s="35">
        <f>INDEX(B5:C13,MATCH(5,D5:D13,0),2)</f>
        <v>17225.128580246917</v>
      </c>
    </row>
    <row r="24" spans="2:3" x14ac:dyDescent="0.25">
      <c r="B24" s="37" t="str">
        <f>INDEX(B5:C13,MATCH(6,D5:D13,0),1)</f>
        <v>staże</v>
      </c>
      <c r="C24" s="35">
        <f>INDEX(B5:C13,MATCH(6,D5:D13,0),2)</f>
        <v>13014.846298394708</v>
      </c>
    </row>
    <row r="25" spans="2:3" x14ac:dyDescent="0.25">
      <c r="B25" s="37" t="str">
        <f>INDEX(B5:C13,MATCH(7,D5:D13,0),1)</f>
        <v>bon na zas.</v>
      </c>
      <c r="C25" s="35">
        <f>INDEX(B5:C13,MATCH(7,D5:D13,0),2)</f>
        <v>11216.649255202628</v>
      </c>
    </row>
    <row r="26" spans="2:3" x14ac:dyDescent="0.25">
      <c r="B26" s="37" t="str">
        <f>INDEX(B5:C13,MATCH(8,D5:D13,0),1)</f>
        <v>prace interw.</v>
      </c>
      <c r="C26" s="35">
        <f>INDEX(B5:C13,MATCH(8,D5:D13,0),2)</f>
        <v>8721.5238630299427</v>
      </c>
    </row>
  </sheetData>
  <sortState xmlns:xlrd2="http://schemas.microsoft.com/office/spreadsheetml/2017/richdata2" ref="A5:G11">
    <sortCondition ref="C5:C11"/>
  </sortState>
  <pageMargins left="0.7" right="0.7" top="0.75" bottom="0.75" header="0.3" footer="0.3"/>
  <pageSetup paperSize="9" scale="96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usz18">
    <tabColor rgb="FFFF9900"/>
    <pageSetUpPr fitToPage="1"/>
  </sheetPr>
  <dimension ref="A1:O33"/>
  <sheetViews>
    <sheetView zoomScale="90" zoomScaleNormal="90" workbookViewId="0"/>
  </sheetViews>
  <sheetFormatPr defaultRowHeight="15" x14ac:dyDescent="0.25"/>
  <cols>
    <col min="1" max="1" width="5.140625" style="15" customWidth="1"/>
    <col min="2" max="2" width="13.42578125" style="15" customWidth="1"/>
    <col min="3" max="3" width="14" style="15" customWidth="1"/>
    <col min="4" max="4" width="12.7109375" style="15" customWidth="1"/>
    <col min="5" max="5" width="12.85546875" style="15" customWidth="1"/>
    <col min="6" max="6" width="12.28515625" style="15" customWidth="1"/>
    <col min="7" max="7" width="13.140625" style="15" customWidth="1"/>
    <col min="8" max="9" width="12.140625" style="15" customWidth="1"/>
    <col min="10" max="10" width="11.5703125" style="10" customWidth="1"/>
    <col min="11" max="11" width="6.140625" style="10" customWidth="1"/>
    <col min="12" max="12" width="14.42578125" style="10" customWidth="1"/>
    <col min="13" max="13" width="11.5703125" style="15" customWidth="1"/>
    <col min="14" max="16384" width="9.140625" style="15"/>
  </cols>
  <sheetData>
    <row r="1" spans="1:13" x14ac:dyDescent="0.25">
      <c r="A1" s="15" t="s">
        <v>157</v>
      </c>
      <c r="C1" s="15" t="s">
        <v>347</v>
      </c>
    </row>
    <row r="2" spans="1:13" x14ac:dyDescent="0.25">
      <c r="A2" s="15" t="s">
        <v>326</v>
      </c>
    </row>
    <row r="3" spans="1:13" x14ac:dyDescent="0.25">
      <c r="A3" s="348">
        <f>SUM(P__!K26)</f>
        <v>2021</v>
      </c>
      <c r="B3" s="368" t="s">
        <v>101</v>
      </c>
      <c r="C3" s="348" t="s">
        <v>136</v>
      </c>
      <c r="D3" s="348" t="s">
        <v>135</v>
      </c>
      <c r="E3" s="348" t="s">
        <v>149</v>
      </c>
      <c r="F3" s="348" t="s">
        <v>139</v>
      </c>
      <c r="G3" s="348" t="s">
        <v>150</v>
      </c>
      <c r="H3" s="348" t="s">
        <v>148</v>
      </c>
      <c r="I3" s="348" t="s">
        <v>299</v>
      </c>
      <c r="J3" s="16"/>
      <c r="K3" s="16" t="s">
        <v>71</v>
      </c>
      <c r="L3" s="16" t="s">
        <v>151</v>
      </c>
      <c r="M3" s="43" t="s">
        <v>147</v>
      </c>
    </row>
    <row r="4" spans="1:13" x14ac:dyDescent="0.25">
      <c r="A4" s="16">
        <v>1</v>
      </c>
      <c r="B4" s="7" t="s">
        <v>73</v>
      </c>
      <c r="C4" s="369">
        <f>SUM(P__!L27)</f>
        <v>13681.669927536232</v>
      </c>
      <c r="D4" s="6">
        <f>SUM(P__!M27)</f>
        <v>11344.465</v>
      </c>
      <c r="E4" s="6">
        <f>SUM(P__!N27)</f>
        <v>6614.1498000000001</v>
      </c>
      <c r="F4" s="6">
        <f>SUMIF(P__!O27,"&gt;1",(P__!O27))</f>
        <v>19526.167142857146</v>
      </c>
      <c r="G4" s="6">
        <f>SUMIF(P__!P27,"&gt;1",(P__!P27))</f>
        <v>29999.74672727273</v>
      </c>
      <c r="H4" s="6">
        <f>SUMIF(P__!Q27,"&gt;1",(P__!Q27))</f>
        <v>107142.85714285714</v>
      </c>
      <c r="I4" s="6">
        <f>SUMIF(P__!R27,"&gt;1",(P__!R27))</f>
        <v>18338.249705882354</v>
      </c>
      <c r="J4" s="7">
        <v>1801</v>
      </c>
      <c r="K4" s="19">
        <f>RANK(C4,$C$4:$C$25,1)+COUNTIF($C$4:C4,C4)-1</f>
        <v>17</v>
      </c>
      <c r="L4" s="7" t="str">
        <f>INDEX(B4:I25,MATCH(1,K4:K25,0),1)</f>
        <v>Mielec</v>
      </c>
      <c r="M4" s="6">
        <f>INDEX(B4:I25,MATCH(1,K4:K25,0),2)</f>
        <v>8961.8028623188402</v>
      </c>
    </row>
    <row r="5" spans="1:13" x14ac:dyDescent="0.25">
      <c r="A5" s="16">
        <v>2</v>
      </c>
      <c r="B5" s="7" t="s">
        <v>74</v>
      </c>
      <c r="C5" s="369">
        <f>SUM(P__!L28)</f>
        <v>15714.401250000001</v>
      </c>
      <c r="D5" s="6">
        <f>SUM(P__!M28)</f>
        <v>8595.8549999999996</v>
      </c>
      <c r="E5" s="6">
        <f>SUM(P__!N28)</f>
        <v>6066.8047530864196</v>
      </c>
      <c r="F5" s="6">
        <f>SUMIF(P__!O28,"&gt;1",(P__!O28))</f>
        <v>19397.623559322034</v>
      </c>
      <c r="G5" s="6">
        <f>SUM(P__!P28)</f>
        <v>31437.952110091741</v>
      </c>
      <c r="H5" s="6">
        <f>SUM(P__!Q28)</f>
        <v>37726.620416666665</v>
      </c>
      <c r="I5" s="6">
        <f>SUM(P__!R28)</f>
        <v>17228.571428571428</v>
      </c>
      <c r="J5" s="7">
        <v>1802</v>
      </c>
      <c r="K5" s="19">
        <f>RANK(C5,$C$4:$C$25,1)+COUNTIF($C$4:C5,C5)-1</f>
        <v>22</v>
      </c>
      <c r="L5" s="18" t="str">
        <f>INDEX(B4:I25,MATCH(2,K4:K25,0),1)</f>
        <v>Kolbuszowa</v>
      </c>
      <c r="M5" s="6">
        <f>INDEX(B4:I25,MATCH(2,K4:K25,0),2)</f>
        <v>11641.389814814815</v>
      </c>
    </row>
    <row r="6" spans="1:13" x14ac:dyDescent="0.25">
      <c r="A6" s="16">
        <v>3</v>
      </c>
      <c r="B6" s="7" t="s">
        <v>75</v>
      </c>
      <c r="C6" s="369">
        <f>SUM(P__!L29)</f>
        <v>14942.120753768842</v>
      </c>
      <c r="D6" s="6">
        <f>SUM(P__!M29)</f>
        <v>10251.5</v>
      </c>
      <c r="E6" s="6">
        <f>SUM(P__!N29)</f>
        <v>7773.3001265822777</v>
      </c>
      <c r="F6" s="6">
        <f>SUMIF(P__!O29,"&gt;1",(P__!O29))</f>
        <v>17579.073333333334</v>
      </c>
      <c r="G6" s="6">
        <f>SUM(P__!P29)</f>
        <v>24094.089739130432</v>
      </c>
      <c r="H6" s="6">
        <f>SUM(P__!Q29)</f>
        <v>40966.443478260873</v>
      </c>
      <c r="I6" s="6">
        <f>SUM(P__!R29)</f>
        <v>11734.375</v>
      </c>
      <c r="J6" s="7">
        <v>1803</v>
      </c>
      <c r="K6" s="19">
        <f>RANK(C6,$C$4:$C$25,1)+COUNTIF($C$4:C6,C6)-1</f>
        <v>19</v>
      </c>
      <c r="L6" s="18" t="str">
        <f>INDEX(B4:I25,MATCH(3,K4:K25,0),1)</f>
        <v>Rzeszów</v>
      </c>
      <c r="M6" s="6">
        <f>INDEX(B4:I25,MATCH(3,K4:K25,0),2)</f>
        <v>11904.609334389857</v>
      </c>
    </row>
    <row r="7" spans="1:13" x14ac:dyDescent="0.25">
      <c r="A7" s="16">
        <v>4</v>
      </c>
      <c r="B7" s="7" t="s">
        <v>76</v>
      </c>
      <c r="C7" s="369">
        <f>SUM(P__!L30)</f>
        <v>13379.878502994012</v>
      </c>
      <c r="D7" s="6">
        <f>SUM(P__!M30)</f>
        <v>10438.48</v>
      </c>
      <c r="E7" s="6">
        <f>SUM(P__!N30)</f>
        <v>9845.926007604563</v>
      </c>
      <c r="F7" s="6">
        <f>SUMIF(P__!O30,"&gt;1",(P__!O30))</f>
        <v>18301.619774436091</v>
      </c>
      <c r="G7" s="6">
        <f>SUM(P__!P30)</f>
        <v>31538.182136752137</v>
      </c>
      <c r="H7" s="6">
        <f>SUM(P__!Q30)</f>
        <v>45659.340540540536</v>
      </c>
      <c r="I7" s="6">
        <f>SUM(P__!R30)</f>
        <v>13770.712608695652</v>
      </c>
      <c r="J7" s="7">
        <v>1804</v>
      </c>
      <c r="K7" s="19">
        <f>RANK(C7,$C$4:$C$25,1)+COUNTIF($C$4:C7,C7)-1</f>
        <v>13</v>
      </c>
      <c r="L7" s="18" t="str">
        <f>INDEX(B4:I25,MATCH(4,K4:K25,0),1)</f>
        <v>Tarnobrzeg</v>
      </c>
      <c r="M7" s="6">
        <f>INDEX(B4:I25,MATCH(4,K4:K25,0),2)</f>
        <v>12141.553074074074</v>
      </c>
    </row>
    <row r="8" spans="1:13" x14ac:dyDescent="0.25">
      <c r="A8" s="16">
        <v>5</v>
      </c>
      <c r="B8" s="7" t="s">
        <v>77</v>
      </c>
      <c r="C8" s="369">
        <f>SUM(P__!L31)</f>
        <v>12778.869616613418</v>
      </c>
      <c r="D8" s="6">
        <f>SUM(P__!M31)</f>
        <v>11194.186874999999</v>
      </c>
      <c r="E8" s="6">
        <f>SUM(P__!N31)</f>
        <v>9807.594794520548</v>
      </c>
      <c r="F8" s="6">
        <f>SUMIF(P__!O31,"&gt;1",(P__!O31))</f>
        <v>14134.019583333335</v>
      </c>
      <c r="G8" s="6">
        <f>SUM(P__!P31)</f>
        <v>25059.573243243241</v>
      </c>
      <c r="H8" s="6">
        <f>SUM(P__!Q31)</f>
        <v>82121.770769230774</v>
      </c>
      <c r="I8" s="6">
        <f>SUM(P__!R31)</f>
        <v>16382.142857142857</v>
      </c>
      <c r="J8" s="7">
        <v>1805</v>
      </c>
      <c r="K8" s="19">
        <f>RANK(C8,$C$4:$C$25,1)+COUNTIF($C$4:C8,C8)-1</f>
        <v>7</v>
      </c>
      <c r="L8" s="18" t="str">
        <f>INDEX(B4:I25,MATCH(5,K4:K25,0),1)</f>
        <v>Sanok</v>
      </c>
      <c r="M8" s="6">
        <f>INDEX(B4:I25,MATCH(5,K4:K25,0),2)</f>
        <v>12328.4198125</v>
      </c>
    </row>
    <row r="9" spans="1:13" x14ac:dyDescent="0.25">
      <c r="A9" s="16">
        <v>6</v>
      </c>
      <c r="B9" s="7" t="s">
        <v>78</v>
      </c>
      <c r="C9" s="369">
        <f>SUM(P__!L32)</f>
        <v>11641.389814814815</v>
      </c>
      <c r="D9" s="6">
        <f>SUM(P__!M32)</f>
        <v>9158.8448275862065</v>
      </c>
      <c r="E9" s="6">
        <f>SUM(P__!N32)</f>
        <v>5263.067345132743</v>
      </c>
      <c r="F9" s="6">
        <f>SUMIF(P__!O32,"&gt;1",(P__!O32))</f>
        <v>18504.820666666667</v>
      </c>
      <c r="G9" s="6">
        <f>SUM(P__!P32)</f>
        <v>29455.622950819674</v>
      </c>
      <c r="H9" s="6">
        <f>SUM(P__!Q32)</f>
        <v>50004.321951219514</v>
      </c>
      <c r="I9" s="6">
        <f>SUM(P__!R32)</f>
        <v>15000</v>
      </c>
      <c r="J9" s="7">
        <v>1806</v>
      </c>
      <c r="K9" s="19">
        <f>RANK(C9,$C$4:$C$25,1)+COUNTIF($C$4:C9,C9)-1</f>
        <v>2</v>
      </c>
      <c r="L9" s="18" t="str">
        <f>INDEX(B4:I25,MATCH(6,K4:K25,0),1)</f>
        <v>Krosno</v>
      </c>
      <c r="M9" s="6">
        <f>INDEX(B4:I25,MATCH(6,K4:K25,0),2)</f>
        <v>12553.818190954773</v>
      </c>
    </row>
    <row r="10" spans="1:13" x14ac:dyDescent="0.25">
      <c r="A10" s="218">
        <v>7</v>
      </c>
      <c r="B10" s="219" t="s">
        <v>79</v>
      </c>
      <c r="C10" s="370">
        <f>SUM(P__!L33)</f>
        <v>12553.818190954773</v>
      </c>
      <c r="D10" s="215">
        <f>SUM(P__!M33)</f>
        <v>8620.3804166666669</v>
      </c>
      <c r="E10" s="215">
        <f>SUM(P__!N33)</f>
        <v>6423.7599999999993</v>
      </c>
      <c r="F10" s="215">
        <f>SUMIF(P__!O33,"&gt;1",(P__!O33))</f>
        <v>7991.192222222222</v>
      </c>
      <c r="G10" s="215">
        <f>SUM(P__!P33)</f>
        <v>23694.158785046729</v>
      </c>
      <c r="H10" s="215">
        <f>SUM(P__!Q33)</f>
        <v>54219.033389830511</v>
      </c>
      <c r="I10" s="215">
        <f>SUM(P__!R33)</f>
        <v>8435.8974358974356</v>
      </c>
      <c r="J10" s="219" t="s">
        <v>143</v>
      </c>
      <c r="K10" s="19">
        <f>RANK(C10,$C$4:$C$25,1)+COUNTIF($C$4:C10,C10)-1</f>
        <v>6</v>
      </c>
      <c r="L10" s="18" t="str">
        <f>INDEX(B4:I25,MATCH(7,K4:K25,0),1)</f>
        <v>Jasło</v>
      </c>
      <c r="M10" s="6">
        <f>INDEX(B4:I25,MATCH(7,K4:K25,0),2)</f>
        <v>12778.869616613418</v>
      </c>
    </row>
    <row r="11" spans="1:13" x14ac:dyDescent="0.25">
      <c r="A11" s="16">
        <v>8</v>
      </c>
      <c r="B11" s="7" t="s">
        <v>80</v>
      </c>
      <c r="C11" s="369">
        <f>SUM(P__!L35)</f>
        <v>12980.238530701754</v>
      </c>
      <c r="D11" s="6">
        <f>SUM(P__!M35)</f>
        <v>11343.624054054055</v>
      </c>
      <c r="E11" s="6">
        <f>SUM(P__!N35)</f>
        <v>9549.6243902439019</v>
      </c>
      <c r="F11" s="6">
        <f>SUMIF(P__!O35,"&gt;1",(P__!O35))</f>
        <v>13031.564930555556</v>
      </c>
      <c r="G11" s="6">
        <f>SUM(P__!P35)</f>
        <v>28104.513513513513</v>
      </c>
      <c r="H11" s="6">
        <f>SUM(P__!Q35)</f>
        <v>110291.49571428572</v>
      </c>
      <c r="I11" s="6">
        <f>SUM(P__!R35)</f>
        <v>10323.529411764706</v>
      </c>
      <c r="J11" s="7">
        <v>1808</v>
      </c>
      <c r="K11" s="19">
        <f>RANK(C11,$C$4:$C$25,1)+COUNTIF($C$4:C11,C11)-1</f>
        <v>10</v>
      </c>
      <c r="L11" s="18" t="str">
        <f>INDEX(B4:I25,MATCH(8,K4:K25,0),1)</f>
        <v>Lubaczów</v>
      </c>
      <c r="M11" s="6">
        <f>INDEX(B4:I25,MATCH(8,K4:K25,0),2)</f>
        <v>12888.656102941177</v>
      </c>
    </row>
    <row r="12" spans="1:13" x14ac:dyDescent="0.25">
      <c r="A12" s="16">
        <v>9</v>
      </c>
      <c r="B12" s="7" t="s">
        <v>81</v>
      </c>
      <c r="C12" s="369">
        <f>SUM(P__!L36)</f>
        <v>12888.656102941177</v>
      </c>
      <c r="D12" s="6">
        <f>SUM(P__!M36)</f>
        <v>10973.99</v>
      </c>
      <c r="E12" s="6">
        <f>SUM(P__!N36)</f>
        <v>9369.1174193548377</v>
      </c>
      <c r="F12" s="6">
        <f>SUMIF(P__!O36,"&gt;1",(P__!O36))</f>
        <v>16346.299629629631</v>
      </c>
      <c r="G12" s="6">
        <f>SUM(P__!P36)</f>
        <v>27988.132931034481</v>
      </c>
      <c r="H12" s="216">
        <f>SUMIF(P__!Q36,"&gt;1",(P__!Q36))</f>
        <v>0</v>
      </c>
      <c r="I12" s="6">
        <f>SUMIF(P__!R36,"&gt;1",(P__!R36))</f>
        <v>9749.8708139534883</v>
      </c>
      <c r="J12" s="7">
        <v>1809</v>
      </c>
      <c r="K12" s="19">
        <f>RANK(C12,$C$4:$C$25,1)+COUNTIF($C$4:C12,C12)-1</f>
        <v>8</v>
      </c>
      <c r="L12" s="18" t="str">
        <f>INDEX(B4:I25,MATCH(9,K4:K25,0),1)</f>
        <v>Ropczyce</v>
      </c>
      <c r="M12" s="6">
        <f>INDEX(B4:I25,MATCH(9,K4:K25,0),2)</f>
        <v>12915.99174796748</v>
      </c>
    </row>
    <row r="13" spans="1:13" x14ac:dyDescent="0.25">
      <c r="A13" s="16">
        <v>10</v>
      </c>
      <c r="B13" s="7" t="s">
        <v>82</v>
      </c>
      <c r="C13" s="369">
        <f>SUM(P__!L37)</f>
        <v>15085.837870036099</v>
      </c>
      <c r="D13" s="6">
        <f>SUM(P__!M37)</f>
        <v>12609.18</v>
      </c>
      <c r="E13" s="6">
        <f>SUM(P__!N37)</f>
        <v>8129.4257516339867</v>
      </c>
      <c r="F13" s="6">
        <f>SUMIF(P__!O37,"&gt;1",(P__!O37))</f>
        <v>17523.310650406504</v>
      </c>
      <c r="G13" s="6">
        <f>SUM(P__!P37)</f>
        <v>31102.884615384617</v>
      </c>
      <c r="H13" s="6">
        <f>SUM(P__!Q37)</f>
        <v>37687.5</v>
      </c>
      <c r="I13" s="6">
        <f>SUM(P__!R37)</f>
        <v>8489.3617021276605</v>
      </c>
      <c r="J13" s="7">
        <v>1810</v>
      </c>
      <c r="K13" s="19">
        <f>RANK(C13,$C$4:$C$25,1)+COUNTIF($C$4:C13,C13)-1</f>
        <v>20</v>
      </c>
      <c r="L13" s="18" t="str">
        <f>INDEX(B4:I25,MATCH(10,K4:K25,0),1)</f>
        <v>Leżajsk</v>
      </c>
      <c r="M13" s="6">
        <f>INDEX(B4:I25,MATCH(10,K4:K25,0),2)</f>
        <v>12980.238530701754</v>
      </c>
    </row>
    <row r="14" spans="1:13" x14ac:dyDescent="0.25">
      <c r="A14" s="16">
        <v>11</v>
      </c>
      <c r="B14" s="7" t="s">
        <v>83</v>
      </c>
      <c r="C14" s="369">
        <f>SUM(P__!L38)</f>
        <v>8961.8028623188402</v>
      </c>
      <c r="D14" s="6">
        <f>SUM(P__!M38)</f>
        <v>4585.1477777777782</v>
      </c>
      <c r="E14" s="6">
        <f>SUM(P__!N38)</f>
        <v>7577.0269194312796</v>
      </c>
      <c r="F14" s="6">
        <f>SUMIF(P__!O38,"&gt;1",(P__!O38))</f>
        <v>11377.817031250001</v>
      </c>
      <c r="G14" s="6">
        <f>SUM(P__!P38)</f>
        <v>20844.939906542055</v>
      </c>
      <c r="H14" s="6">
        <f>SUM(P__!Q38)</f>
        <v>38286.187350427346</v>
      </c>
      <c r="I14" s="6">
        <f>SUM(P__!R38)</f>
        <v>8000</v>
      </c>
      <c r="J14" s="7">
        <v>1811</v>
      </c>
      <c r="K14" s="153">
        <f>RANK(C14,$C$4:$C$25,1)+COUNTIF($C$4:C14,C14)-1</f>
        <v>1</v>
      </c>
      <c r="L14" s="154" t="str">
        <f>INDEX(B4:I25,MATCH(11,K4:K25,0),1)</f>
        <v>Podkarpacie</v>
      </c>
      <c r="M14" s="22">
        <f>INDEX(B4:I25,MATCH(11,K4:K25,0),2)</f>
        <v>13014.846298394708</v>
      </c>
    </row>
    <row r="15" spans="1:13" x14ac:dyDescent="0.25">
      <c r="A15" s="16">
        <v>12</v>
      </c>
      <c r="B15" s="7" t="s">
        <v>84</v>
      </c>
      <c r="C15" s="369">
        <f>SUM(P__!L39)</f>
        <v>14570.84357827476</v>
      </c>
      <c r="D15" s="6">
        <f>SUM(P__!M39)</f>
        <v>15438.321538461538</v>
      </c>
      <c r="E15" s="6">
        <f>SUM(P__!N39)</f>
        <v>8099.6970550161814</v>
      </c>
      <c r="F15" s="6">
        <f>SUMIF(P__!O39,"&gt;1",(P__!O39))</f>
        <v>21828.017884615383</v>
      </c>
      <c r="G15" s="6">
        <f>SUM(P__!P39)</f>
        <v>25669.014084507042</v>
      </c>
      <c r="H15" s="6">
        <f>SUM(P__!Q39)</f>
        <v>65243.697428571431</v>
      </c>
      <c r="I15" s="6">
        <f>SUM(P__!R39)</f>
        <v>14850</v>
      </c>
      <c r="J15" s="7">
        <v>1812</v>
      </c>
      <c r="K15" s="19">
        <f>RANK(C15,$C$4:$C$25,1)+COUNTIF($C$4:C15,C15)-1</f>
        <v>18</v>
      </c>
      <c r="L15" s="18" t="str">
        <f>INDEX(B4:I25,MATCH(12,K4:K25,0),1)</f>
        <v>Stalowa Wola</v>
      </c>
      <c r="M15" s="6">
        <f>INDEX(B4:I25,MATCH(12,K4:K25,0),2)</f>
        <v>13350.010120967741</v>
      </c>
    </row>
    <row r="16" spans="1:13" x14ac:dyDescent="0.25">
      <c r="A16" s="16">
        <v>13</v>
      </c>
      <c r="B16" s="7" t="s">
        <v>85</v>
      </c>
      <c r="C16" s="369">
        <f>SUM(P__!L40)</f>
        <v>15573.837295454547</v>
      </c>
      <c r="D16" s="6">
        <f>SUM(P__!M40)</f>
        <v>8368.0500000000011</v>
      </c>
      <c r="E16" s="6">
        <f>SUM(P__!N40)</f>
        <v>9730.7848496240604</v>
      </c>
      <c r="F16" s="6">
        <f>SUMIF(P__!O40,"&gt;1",(P__!O40))</f>
        <v>22787.972302158272</v>
      </c>
      <c r="G16" s="6">
        <f>SUM(P__!P40)</f>
        <v>33022.659577464787</v>
      </c>
      <c r="H16" s="6">
        <f>SUM(P__!Q40)</f>
        <v>41252.479767441859</v>
      </c>
      <c r="I16" s="6">
        <f>SUM(P__!R40)</f>
        <v>9086.95652173913</v>
      </c>
      <c r="J16" s="7">
        <v>1814</v>
      </c>
      <c r="K16" s="156">
        <f>RANK(C16,$C$4:$C$25,1)+COUNTIF($C$4:C16,C16)-1</f>
        <v>21</v>
      </c>
      <c r="L16" s="21" t="str">
        <f>INDEX(B4:I25,MATCH(13,K4:K25,0),1)</f>
        <v>Jarosław</v>
      </c>
      <c r="M16" s="6">
        <f>INDEX(B4:I25,MATCH(13,K4:K25,0),2)</f>
        <v>13379.878502994012</v>
      </c>
    </row>
    <row r="17" spans="1:15" x14ac:dyDescent="0.25">
      <c r="A17" s="16">
        <v>14</v>
      </c>
      <c r="B17" s="7" t="s">
        <v>86</v>
      </c>
      <c r="C17" s="369">
        <f>SUM(P__!L41)</f>
        <v>12915.99174796748</v>
      </c>
      <c r="D17" s="6">
        <f>SUM(P__!M41)</f>
        <v>8160.9958823529405</v>
      </c>
      <c r="E17" s="6">
        <f>SUM(P__!N41)</f>
        <v>10445.929351851853</v>
      </c>
      <c r="F17" s="6">
        <f>SUMIF(P__!O41,"&gt;1",(P__!O41))</f>
        <v>20292.108787878788</v>
      </c>
      <c r="G17" s="6">
        <f>SUM(P__!P41)</f>
        <v>29123.921538461538</v>
      </c>
      <c r="H17" s="6">
        <f>SUM(P__!Q41)</f>
        <v>40850.424109589039</v>
      </c>
      <c r="I17" s="6">
        <f>SUM(P__!R41)</f>
        <v>5888.8888888888887</v>
      </c>
      <c r="J17" s="7">
        <v>1815</v>
      </c>
      <c r="K17" s="20">
        <f>RANK(C17,$C$4:$C$25,1)+COUNTIF($C$4:C17,C17)-1</f>
        <v>9</v>
      </c>
      <c r="L17" s="221" t="str">
        <f>INDEX(B4:I25,MATCH(14,K4:K25,0),1)</f>
        <v>Lesko</v>
      </c>
      <c r="M17" s="216">
        <f>INDEX(B4:I25,MATCH(14,K4:K25,0),2)</f>
        <v>13395.393404255319</v>
      </c>
    </row>
    <row r="18" spans="1:15" x14ac:dyDescent="0.25">
      <c r="A18" s="218">
        <v>15</v>
      </c>
      <c r="B18" s="219" t="s">
        <v>87</v>
      </c>
      <c r="C18" s="370">
        <f>SUM(P__!L43)</f>
        <v>11904.609334389857</v>
      </c>
      <c r="D18" s="215">
        <f>SUM(P__!M43)</f>
        <v>2739.4103448275864</v>
      </c>
      <c r="E18" s="215">
        <f>SUM(P__!N43)</f>
        <v>10371.263699633701</v>
      </c>
      <c r="F18" s="215">
        <f>SUMIF(P__!O43,"&gt;1",(P__!O43))</f>
        <v>21381.615312500002</v>
      </c>
      <c r="G18" s="215">
        <f>SUM(P__!P43)</f>
        <v>49685.009080459771</v>
      </c>
      <c r="H18" s="215">
        <f>SUM(P__!Q43)</f>
        <v>74903.813303571427</v>
      </c>
      <c r="I18" s="215">
        <f>SUM(P__!R43)</f>
        <v>11535.76390625</v>
      </c>
      <c r="J18" s="219" t="s">
        <v>145</v>
      </c>
      <c r="K18" s="16">
        <f>RANK(C18,$C$4:$C$25,1)+COUNTIF($C$4:C18,C18)-1</f>
        <v>3</v>
      </c>
      <c r="L18" s="7" t="str">
        <f>INDEX(B4:I25,MATCH(15,K4:K25,0),1)</f>
        <v>Strzyżów</v>
      </c>
      <c r="M18" s="6">
        <f>INDEX(B4:I25,MATCH(15,K4:K25,0),2)</f>
        <v>13442.706183953034</v>
      </c>
    </row>
    <row r="19" spans="1:15" x14ac:dyDescent="0.25">
      <c r="A19" s="16">
        <v>16</v>
      </c>
      <c r="B19" s="7" t="s">
        <v>88</v>
      </c>
      <c r="C19" s="369">
        <f>SUM(P__!L44)</f>
        <v>12328.4198125</v>
      </c>
      <c r="D19" s="6">
        <f>SUM(P__!M44)</f>
        <v>8388.8655223880596</v>
      </c>
      <c r="E19" s="6">
        <f>SUM(P__!N44)</f>
        <v>7298.9246111111106</v>
      </c>
      <c r="F19" s="6">
        <f>SUMIF(P__!O44,"&gt;1",(P__!O44))</f>
        <v>10000.877894736841</v>
      </c>
      <c r="G19" s="6">
        <f>SUM(P__!P44)</f>
        <v>25636.279687499999</v>
      </c>
      <c r="H19" s="6">
        <f>SUM(P__!Q44)</f>
        <v>47949.561836734691</v>
      </c>
      <c r="I19" s="6">
        <f>SUM(P__!R44)</f>
        <v>9954.5555555555547</v>
      </c>
      <c r="J19" s="7">
        <v>1817</v>
      </c>
      <c r="K19" s="16">
        <f>RANK(C19,$C$4:$C$25,1)+COUNTIF($C$4:C19,C19)-1</f>
        <v>5</v>
      </c>
      <c r="L19" s="7" t="str">
        <f>INDEX(B4:I25,MATCH(16,K4:K25,0),1)</f>
        <v>Przemyśl</v>
      </c>
      <c r="M19" s="6">
        <f>INDEX(B4:I25,MATCH(16,K4:K25,0),2)</f>
        <v>13481.052800000001</v>
      </c>
    </row>
    <row r="20" spans="1:15" x14ac:dyDescent="0.25">
      <c r="A20" s="16">
        <v>17</v>
      </c>
      <c r="B20" s="7" t="s">
        <v>89</v>
      </c>
      <c r="C20" s="369">
        <f>SUM(P__!L45)</f>
        <v>13350.010120967741</v>
      </c>
      <c r="D20" s="6">
        <f>SUM(P__!M45)</f>
        <v>3372.0714150943395</v>
      </c>
      <c r="E20" s="6">
        <f>SUM(P__!N45)</f>
        <v>9714.0203846153836</v>
      </c>
      <c r="F20" s="6">
        <f>SUMIF(P__!O45,"&gt;1",(P__!O45))</f>
        <v>17629.1836</v>
      </c>
      <c r="G20" s="6">
        <f>SUM(P__!P45)</f>
        <v>22324.325232558138</v>
      </c>
      <c r="H20" s="6">
        <f>SUM(P__!Q45)</f>
        <v>58375.379230769235</v>
      </c>
      <c r="I20" s="6">
        <f>SUM(P__!R45)</f>
        <v>8169.3208823529403</v>
      </c>
      <c r="J20" s="7">
        <v>1818</v>
      </c>
      <c r="K20" s="16">
        <f>RANK(C20,$C$4:$C$25,1)+COUNTIF($C$4:C20,C20)-1</f>
        <v>12</v>
      </c>
      <c r="L20" s="7" t="str">
        <f>INDEX(B4:I25,MATCH(17,K4:K25,0),1)</f>
        <v>Ustrzyki Dolne</v>
      </c>
      <c r="M20" s="6">
        <f>INDEX(B4:I25,MATCH(17,K4:K25,0),2)</f>
        <v>13681.669927536232</v>
      </c>
    </row>
    <row r="21" spans="1:15" x14ac:dyDescent="0.25">
      <c r="A21" s="16">
        <v>18</v>
      </c>
      <c r="B21" s="7" t="s">
        <v>90</v>
      </c>
      <c r="C21" s="369">
        <f>SUM(P__!L46)</f>
        <v>13442.706183953034</v>
      </c>
      <c r="D21" s="6">
        <f>SUM(P__!M46)</f>
        <v>10985.015333333335</v>
      </c>
      <c r="E21" s="6">
        <f>SUM(P__!N46)</f>
        <v>7578.7800000000007</v>
      </c>
      <c r="F21" s="6">
        <f>SUMIF(P__!O46,"&gt;1",(P__!O46))</f>
        <v>16393.417863247862</v>
      </c>
      <c r="G21" s="6">
        <f>SUM(P__!P46)</f>
        <v>37943.405529411764</v>
      </c>
      <c r="H21" s="6">
        <f>SUM(P__!Q46)</f>
        <v>58952.05169811321</v>
      </c>
      <c r="I21" s="6">
        <f>SUM(P__!R46)</f>
        <v>10722.222222222223</v>
      </c>
      <c r="J21" s="7">
        <v>1819</v>
      </c>
      <c r="K21" s="16">
        <f>RANK(C21,$C$4:$C$25,1)+COUNTIF($C$4:C21,C21)-1</f>
        <v>15</v>
      </c>
      <c r="L21" s="7" t="str">
        <f>INDEX(B4:I25,MATCH(18,K4:K25,0),1)</f>
        <v>Nisko</v>
      </c>
      <c r="M21" s="6">
        <f>INDEX(B4:I25,MATCH(18,K4:K25,0),2)</f>
        <v>14570.84357827476</v>
      </c>
    </row>
    <row r="22" spans="1:15" x14ac:dyDescent="0.25">
      <c r="A22" s="218">
        <v>19</v>
      </c>
      <c r="B22" s="219" t="s">
        <v>91</v>
      </c>
      <c r="C22" s="370">
        <f>SUM(P__!L47)</f>
        <v>12141.553074074074</v>
      </c>
      <c r="D22" s="215">
        <f>SUM(P__!M47)</f>
        <v>12682.744615384614</v>
      </c>
      <c r="E22" s="215">
        <f>SUM(P__!N47)</f>
        <v>8848.4821249999986</v>
      </c>
      <c r="F22" s="215">
        <f>SUMIF(P__!O47,"&gt;1",(P__!O47))</f>
        <v>15637.929335793357</v>
      </c>
      <c r="G22" s="215">
        <f>SUM(P__!P47)</f>
        <v>19700.752253521125</v>
      </c>
      <c r="H22" s="215">
        <f>SUM(P__!Q47)</f>
        <v>28929.117631578945</v>
      </c>
      <c r="I22" s="215">
        <f>SUM(P__!R47)</f>
        <v>8913.7588888888895</v>
      </c>
      <c r="J22" s="219" t="s">
        <v>146</v>
      </c>
      <c r="K22" s="16">
        <f>RANK(C22,$C$4:$C$25,1)+COUNTIF($C$4:C22,C22)-1</f>
        <v>4</v>
      </c>
      <c r="L22" s="7" t="str">
        <f>INDEX(B4:I25,MATCH(19,K4:K25,0),1)</f>
        <v>Dębica</v>
      </c>
      <c r="M22" s="6">
        <f>INDEX(B4:I25,MATCH(19,K4:K25,0),2)</f>
        <v>14942.120753768842</v>
      </c>
    </row>
    <row r="23" spans="1:15" x14ac:dyDescent="0.25">
      <c r="A23" s="16">
        <v>20</v>
      </c>
      <c r="B23" s="7" t="s">
        <v>92</v>
      </c>
      <c r="C23" s="369">
        <f>SUM(P__!L48)</f>
        <v>13395.393404255319</v>
      </c>
      <c r="D23" s="6">
        <f>SUM(P__!M48)</f>
        <v>5553.9644444444448</v>
      </c>
      <c r="E23" s="6">
        <f>SUM(P__!N48)</f>
        <v>5895.8222857142855</v>
      </c>
      <c r="F23" s="6">
        <f>SUMIF(P__!O48,"&gt;1",(P__!O48))</f>
        <v>21436.601666666669</v>
      </c>
      <c r="G23" s="6">
        <f>SUM(P__!P48)</f>
        <v>44073.572068965521</v>
      </c>
      <c r="H23" s="6">
        <f>SUM(P__!Q48)</f>
        <v>127669.182</v>
      </c>
      <c r="I23" s="6">
        <f>SUM(P__!R48)</f>
        <v>14985.714285714286</v>
      </c>
      <c r="J23" s="7">
        <v>1821</v>
      </c>
      <c r="K23" s="16">
        <f>RANK(C23,$C$4:$C$25,1)+COUNTIF($C$4:C23,C23)-1</f>
        <v>14</v>
      </c>
      <c r="L23" s="7" t="str">
        <f>INDEX(B4:I25,MATCH(20,K4:K25,0),1)</f>
        <v>Łańcut</v>
      </c>
      <c r="M23" s="6">
        <f>INDEX(B4:I25,MATCH(20,K4:K25,0),2)</f>
        <v>15085.837870036099</v>
      </c>
    </row>
    <row r="24" spans="1:15" x14ac:dyDescent="0.25">
      <c r="A24" s="218">
        <v>21</v>
      </c>
      <c r="B24" s="219" t="s">
        <v>97</v>
      </c>
      <c r="C24" s="370">
        <f>SUM(P__!L49)</f>
        <v>13481.052800000001</v>
      </c>
      <c r="D24" s="215">
        <f>SUM(P__!M49)</f>
        <v>8729.228000000001</v>
      </c>
      <c r="E24" s="215">
        <f>SUM(P__!N49)</f>
        <v>11767.826356275304</v>
      </c>
      <c r="F24" s="215">
        <f>SUMIF(P__!O49,"&gt;1",(P__!O49))</f>
        <v>16358.021860465115</v>
      </c>
      <c r="G24" s="215">
        <f>SUM(P__!P49)</f>
        <v>22824.840641025643</v>
      </c>
      <c r="H24" s="215">
        <f>SUM(P__!Q49)</f>
        <v>38564.820476190478</v>
      </c>
      <c r="I24" s="215">
        <f>SUM(P__!R49)</f>
        <v>9857.1428571428569</v>
      </c>
      <c r="J24" s="219" t="s">
        <v>144</v>
      </c>
      <c r="K24" s="16">
        <f>RANK(C24,$C$4:$C$25,1)+COUNTIF($C$4:C24,C24)-1</f>
        <v>16</v>
      </c>
      <c r="L24" s="7" t="str">
        <f>INDEX(B4:I25,MATCH(21,K4:K25,0),1)</f>
        <v>Przeworsk</v>
      </c>
      <c r="M24" s="6">
        <f>INDEX(B4:I25,MATCH(21,K4:K25,0),2)</f>
        <v>15573.837295454547</v>
      </c>
    </row>
    <row r="25" spans="1:15" x14ac:dyDescent="0.25">
      <c r="A25" s="16">
        <v>22</v>
      </c>
      <c r="B25" s="18" t="s">
        <v>100</v>
      </c>
      <c r="C25" s="369">
        <f>SUM(P__!L50)</f>
        <v>13014.846298394708</v>
      </c>
      <c r="D25" s="6">
        <f>SUM(P__!M50)</f>
        <v>7250.3362483994879</v>
      </c>
      <c r="E25" s="6">
        <f>SUM(P__!N50)</f>
        <v>8721.5238630299427</v>
      </c>
      <c r="F25" s="6">
        <f>SUMIF(P__!O50,"&gt;1",(P__!O50))</f>
        <v>17225.128580246917</v>
      </c>
      <c r="G25" s="6">
        <f>SUM(P__!P50)</f>
        <v>29182.742895805139</v>
      </c>
      <c r="H25" s="6">
        <f>SUM(P__!Q50)</f>
        <v>53083.715462184882</v>
      </c>
      <c r="I25" s="6">
        <f>SUM(P__!R50)</f>
        <v>11216.649255202628</v>
      </c>
      <c r="J25" s="7">
        <v>1800</v>
      </c>
      <c r="K25" s="16">
        <f>RANK(C25,$C$4:$C$25,1)+COUNTIF($C$4:C25,C25)-1</f>
        <v>11</v>
      </c>
      <c r="L25" s="7" t="str">
        <f>INDEX(B4:I25,MATCH(22,K4:K25,0),1)</f>
        <v>Brzozów</v>
      </c>
      <c r="M25" s="6">
        <f>INDEX(B4:I25,MATCH(22,K4:K25,0),2)</f>
        <v>15714.401250000001</v>
      </c>
      <c r="O25" s="288">
        <f>SUM(C25)/1000</f>
        <v>13.014846298394708</v>
      </c>
    </row>
    <row r="26" spans="1:15" x14ac:dyDescent="0.25">
      <c r="B26" s="10"/>
      <c r="C26" s="10">
        <v>1</v>
      </c>
      <c r="D26" s="10">
        <v>2</v>
      </c>
      <c r="E26" s="10">
        <v>3</v>
      </c>
      <c r="F26" s="10">
        <v>4</v>
      </c>
      <c r="G26" s="10">
        <v>5</v>
      </c>
      <c r="H26" s="10">
        <v>6</v>
      </c>
      <c r="I26" s="10">
        <v>7</v>
      </c>
    </row>
    <row r="27" spans="1:15" x14ac:dyDescent="0.25">
      <c r="A27" s="348">
        <v>1</v>
      </c>
      <c r="B27" s="368" t="s">
        <v>1</v>
      </c>
      <c r="C27" s="15" t="s">
        <v>152</v>
      </c>
      <c r="F27" s="10"/>
    </row>
    <row r="28" spans="1:15" x14ac:dyDescent="0.25">
      <c r="A28" s="16">
        <v>2</v>
      </c>
      <c r="B28" s="17" t="s">
        <v>2</v>
      </c>
      <c r="C28" s="15" t="s">
        <v>152</v>
      </c>
    </row>
    <row r="29" spans="1:15" x14ac:dyDescent="0.25">
      <c r="A29" s="16">
        <v>3</v>
      </c>
      <c r="B29" s="17" t="s">
        <v>3</v>
      </c>
      <c r="C29" s="15" t="s">
        <v>152</v>
      </c>
    </row>
    <row r="30" spans="1:15" x14ac:dyDescent="0.25">
      <c r="A30" s="16">
        <v>4</v>
      </c>
      <c r="B30" s="17" t="s">
        <v>4</v>
      </c>
      <c r="C30" s="15" t="s">
        <v>152</v>
      </c>
    </row>
    <row r="31" spans="1:15" x14ac:dyDescent="0.25">
      <c r="A31" s="16">
        <v>5</v>
      </c>
      <c r="B31" s="17" t="s">
        <v>16</v>
      </c>
      <c r="C31" s="15" t="s">
        <v>152</v>
      </c>
    </row>
    <row r="32" spans="1:15" x14ac:dyDescent="0.25">
      <c r="A32" s="16">
        <v>6</v>
      </c>
      <c r="B32" s="17" t="s">
        <v>17</v>
      </c>
      <c r="C32" s="15" t="s">
        <v>152</v>
      </c>
    </row>
    <row r="33" spans="1:3" x14ac:dyDescent="0.25">
      <c r="A33" s="16">
        <v>7</v>
      </c>
      <c r="B33" s="17" t="s">
        <v>11</v>
      </c>
      <c r="C33" s="15" t="s">
        <v>152</v>
      </c>
    </row>
  </sheetData>
  <sortState xmlns:xlrd2="http://schemas.microsoft.com/office/spreadsheetml/2017/richdata2" ref="A4:H25">
    <sortCondition ref="C4:C25"/>
  </sortState>
  <pageMargins left="0.7" right="0.7" top="0.75" bottom="0.75" header="0.3" footer="0.3"/>
  <pageSetup paperSize="9" scale="54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usz19">
    <tabColor rgb="FFFF9900"/>
    <pageSetUpPr fitToPage="1"/>
  </sheetPr>
  <dimension ref="A1:M33"/>
  <sheetViews>
    <sheetView zoomScale="90" zoomScaleNormal="90" workbookViewId="0">
      <selection activeCell="H12" sqref="H12"/>
    </sheetView>
  </sheetViews>
  <sheetFormatPr defaultRowHeight="15" x14ac:dyDescent="0.25"/>
  <cols>
    <col min="1" max="1" width="5.140625" style="15" customWidth="1"/>
    <col min="2" max="2" width="13.42578125" style="15" customWidth="1"/>
    <col min="3" max="3" width="14.28515625" style="15" customWidth="1"/>
    <col min="4" max="4" width="12.42578125" style="15" customWidth="1"/>
    <col min="5" max="5" width="13.140625" style="15" customWidth="1"/>
    <col min="6" max="6" width="12.85546875" style="15" customWidth="1"/>
    <col min="7" max="7" width="12.28515625" style="15" customWidth="1"/>
    <col min="8" max="9" width="13.42578125" style="15" customWidth="1"/>
    <col min="10" max="10" width="11.140625" style="10" customWidth="1"/>
    <col min="11" max="11" width="6.85546875" style="10" customWidth="1"/>
    <col min="12" max="12" width="14.42578125" style="10" customWidth="1"/>
    <col min="13" max="13" width="11.5703125" style="15" customWidth="1"/>
    <col min="14" max="16384" width="9.140625" style="15"/>
  </cols>
  <sheetData>
    <row r="1" spans="1:13" x14ac:dyDescent="0.25">
      <c r="A1" s="15" t="s">
        <v>156</v>
      </c>
    </row>
    <row r="2" spans="1:13" x14ac:dyDescent="0.25">
      <c r="A2" s="15" t="s">
        <v>326</v>
      </c>
    </row>
    <row r="3" spans="1:13" x14ac:dyDescent="0.25">
      <c r="A3" s="348">
        <f>SUM(P__!K26)</f>
        <v>2021</v>
      </c>
      <c r="B3" s="368" t="s">
        <v>101</v>
      </c>
      <c r="C3" s="348" t="s">
        <v>136</v>
      </c>
      <c r="D3" s="348" t="s">
        <v>135</v>
      </c>
      <c r="E3" s="348" t="s">
        <v>149</v>
      </c>
      <c r="F3" s="348" t="s">
        <v>139</v>
      </c>
      <c r="G3" s="348" t="s">
        <v>150</v>
      </c>
      <c r="H3" s="348" t="s">
        <v>148</v>
      </c>
      <c r="I3" s="348" t="s">
        <v>299</v>
      </c>
      <c r="J3" s="16"/>
      <c r="K3" s="16" t="s">
        <v>71</v>
      </c>
      <c r="L3" s="16" t="s">
        <v>151</v>
      </c>
      <c r="M3" s="43" t="s">
        <v>147</v>
      </c>
    </row>
    <row r="4" spans="1:13" x14ac:dyDescent="0.25">
      <c r="A4" s="16">
        <v>1</v>
      </c>
      <c r="B4" s="7" t="s">
        <v>73</v>
      </c>
      <c r="C4" s="6">
        <f>SUM(P__!L27)</f>
        <v>13681.669927536232</v>
      </c>
      <c r="D4" s="369">
        <f>SUM(P__!M27)</f>
        <v>11344.465</v>
      </c>
      <c r="E4" s="6">
        <f>SUM(P__!N27)</f>
        <v>6614.1498000000001</v>
      </c>
      <c r="F4" s="6">
        <f>SUMIF(P__!O27,"&gt;1",(P__!O27))</f>
        <v>19526.167142857146</v>
      </c>
      <c r="G4" s="6">
        <f>SUMIF(P__!P27,"&gt;1",(P__!P27))</f>
        <v>29999.74672727273</v>
      </c>
      <c r="H4" s="6">
        <f>SUMIF(P__!Q27,"&gt;1",(P__!Q27))</f>
        <v>107142.85714285714</v>
      </c>
      <c r="I4" s="6">
        <f>SUMIF(P__!R27,"&gt;1",(P__!R27))</f>
        <v>18338.249705882354</v>
      </c>
      <c r="J4" s="7">
        <v>1801</v>
      </c>
      <c r="K4" s="19">
        <f>RANK(D4,$D$4:$D$25,1)+COUNTIF($D$4:D4,D4)-1</f>
        <v>19</v>
      </c>
      <c r="L4" s="7" t="str">
        <f>INDEX(B4:I25,MATCH(1,K4:K25,0),1)</f>
        <v>Rzeszów</v>
      </c>
      <c r="M4" s="6">
        <f>INDEX(B4:I25,MATCH(1,K4:K25,0),3)</f>
        <v>2739.4103448275864</v>
      </c>
    </row>
    <row r="5" spans="1:13" x14ac:dyDescent="0.25">
      <c r="A5" s="16">
        <v>2</v>
      </c>
      <c r="B5" s="7" t="s">
        <v>74</v>
      </c>
      <c r="C5" s="6">
        <f>SUM(P__!L28)</f>
        <v>15714.401250000001</v>
      </c>
      <c r="D5" s="369">
        <f>SUM(P__!M28)</f>
        <v>8595.8549999999996</v>
      </c>
      <c r="E5" s="6">
        <f>SUM(P__!N28)</f>
        <v>6066.8047530864196</v>
      </c>
      <c r="F5" s="6">
        <f>SUMIF(P__!O28,"&gt;1",(P__!O28))</f>
        <v>19397.623559322034</v>
      </c>
      <c r="G5" s="6">
        <f>SUM(P__!P28)</f>
        <v>31437.952110091741</v>
      </c>
      <c r="H5" s="6">
        <f>SUM(P__!Q28)</f>
        <v>37726.620416666665</v>
      </c>
      <c r="I5" s="6">
        <f>SUM(P__!R28)</f>
        <v>17228.571428571428</v>
      </c>
      <c r="J5" s="7">
        <v>1802</v>
      </c>
      <c r="K5" s="19">
        <f>RANK(D5,$D$4:$D$25,1)+COUNTIF($D$4:D5,D5)-1</f>
        <v>9</v>
      </c>
      <c r="L5" s="18" t="str">
        <f>INDEX(B4:I25,MATCH(2,K4:K25,0),1)</f>
        <v>Stalowa Wola</v>
      </c>
      <c r="M5" s="6">
        <f>INDEX(B4:I25,MATCH(2,K4:K25,0),3)</f>
        <v>3372.0714150943395</v>
      </c>
    </row>
    <row r="6" spans="1:13" x14ac:dyDescent="0.25">
      <c r="A6" s="16">
        <v>3</v>
      </c>
      <c r="B6" s="7" t="s">
        <v>75</v>
      </c>
      <c r="C6" s="6">
        <f>SUM(P__!L29)</f>
        <v>14942.120753768842</v>
      </c>
      <c r="D6" s="369">
        <f>SUM(P__!M29)</f>
        <v>10251.5</v>
      </c>
      <c r="E6" s="6">
        <f>SUM(P__!N29)</f>
        <v>7773.3001265822777</v>
      </c>
      <c r="F6" s="6">
        <f>SUMIF(P__!O29,"&gt;1",(P__!O29))</f>
        <v>17579.073333333334</v>
      </c>
      <c r="G6" s="6">
        <f>SUM(P__!P29)</f>
        <v>24094.089739130432</v>
      </c>
      <c r="H6" s="6">
        <f>SUM(P__!Q29)</f>
        <v>40966.443478260873</v>
      </c>
      <c r="I6" s="6">
        <f>SUM(P__!R29)</f>
        <v>11734.375</v>
      </c>
      <c r="J6" s="7">
        <v>1803</v>
      </c>
      <c r="K6" s="19">
        <f>RANK(D6,$D$4:$D$25,1)+COUNTIF($D$4:D6,D6)-1</f>
        <v>13</v>
      </c>
      <c r="L6" s="18" t="str">
        <f>INDEX(B4:I25,MATCH(3,K4:K25,0),1)</f>
        <v>Mielec</v>
      </c>
      <c r="M6" s="6">
        <f>INDEX(B4:I25,MATCH(3,K4:K25,0),3)</f>
        <v>4585.1477777777782</v>
      </c>
    </row>
    <row r="7" spans="1:13" x14ac:dyDescent="0.25">
      <c r="A7" s="16">
        <v>4</v>
      </c>
      <c r="B7" s="7" t="s">
        <v>76</v>
      </c>
      <c r="C7" s="6">
        <f>SUM(P__!L30)</f>
        <v>13379.878502994012</v>
      </c>
      <c r="D7" s="369">
        <f>SUM(P__!M30)</f>
        <v>10438.48</v>
      </c>
      <c r="E7" s="6">
        <f>SUM(P__!N30)</f>
        <v>9845.926007604563</v>
      </c>
      <c r="F7" s="6">
        <f>SUMIF(P__!O30,"&gt;1",(P__!O30))</f>
        <v>18301.619774436091</v>
      </c>
      <c r="G7" s="6">
        <f>SUM(P__!P30)</f>
        <v>31538.182136752137</v>
      </c>
      <c r="H7" s="6">
        <f>SUM(P__!Q30)</f>
        <v>45659.340540540536</v>
      </c>
      <c r="I7" s="6">
        <f>SUM(P__!R30)</f>
        <v>13770.712608695652</v>
      </c>
      <c r="J7" s="7">
        <v>1804</v>
      </c>
      <c r="K7" s="19">
        <f>RANK(D7,$D$4:$D$25,1)+COUNTIF($D$4:D7,D7)-1</f>
        <v>14</v>
      </c>
      <c r="L7" s="18" t="str">
        <f>INDEX(B4:I25,MATCH(4,K4:K25,0),1)</f>
        <v>Lesko</v>
      </c>
      <c r="M7" s="6">
        <f>INDEX(B4:I25,MATCH(4,K4:K25,0),3)</f>
        <v>5553.9644444444448</v>
      </c>
    </row>
    <row r="8" spans="1:13" x14ac:dyDescent="0.25">
      <c r="A8" s="16">
        <v>5</v>
      </c>
      <c r="B8" s="7" t="s">
        <v>77</v>
      </c>
      <c r="C8" s="6">
        <f>SUM(P__!L31)</f>
        <v>12778.869616613418</v>
      </c>
      <c r="D8" s="369">
        <f>SUM(P__!M31)</f>
        <v>11194.186874999999</v>
      </c>
      <c r="E8" s="6">
        <f>SUM(P__!N31)</f>
        <v>9807.594794520548</v>
      </c>
      <c r="F8" s="6">
        <f>SUMIF(P__!O31,"&gt;1",(P__!O31))</f>
        <v>14134.019583333335</v>
      </c>
      <c r="G8" s="6">
        <f>SUM(P__!P31)</f>
        <v>25059.573243243241</v>
      </c>
      <c r="H8" s="6">
        <f>SUM(P__!Q31)</f>
        <v>82121.770769230774</v>
      </c>
      <c r="I8" s="6">
        <f>SUM(P__!R31)</f>
        <v>16382.142857142857</v>
      </c>
      <c r="J8" s="7">
        <v>1805</v>
      </c>
      <c r="K8" s="19">
        <f>RANK(D8,$D$4:$D$25,1)+COUNTIF($D$4:D8,D8)-1</f>
        <v>17</v>
      </c>
      <c r="L8" s="18" t="str">
        <f>INDEX(B4:I25,MATCH(5,K4:K25,0),1)</f>
        <v>Podkarpacie</v>
      </c>
      <c r="M8" s="6">
        <f>INDEX(B4:I25,MATCH(5,K4:K25,0),3)</f>
        <v>7250.3362483994879</v>
      </c>
    </row>
    <row r="9" spans="1:13" x14ac:dyDescent="0.25">
      <c r="A9" s="16">
        <v>6</v>
      </c>
      <c r="B9" s="7" t="s">
        <v>78</v>
      </c>
      <c r="C9" s="6">
        <f>SUM(P__!L32)</f>
        <v>11641.389814814815</v>
      </c>
      <c r="D9" s="369">
        <f>SUM(P__!M32)</f>
        <v>9158.8448275862065</v>
      </c>
      <c r="E9" s="6">
        <f>SUM(P__!N32)</f>
        <v>5263.067345132743</v>
      </c>
      <c r="F9" s="6">
        <f>SUMIF(P__!O32,"&gt;1",(P__!O32))</f>
        <v>18504.820666666667</v>
      </c>
      <c r="G9" s="6">
        <f>SUM(P__!P32)</f>
        <v>29455.622950819674</v>
      </c>
      <c r="H9" s="6">
        <f>SUM(P__!Q32)</f>
        <v>50004.321951219514</v>
      </c>
      <c r="I9" s="6">
        <f>SUM(P__!R32)</f>
        <v>15000</v>
      </c>
      <c r="J9" s="7">
        <v>1806</v>
      </c>
      <c r="K9" s="19">
        <f>RANK(D9,$D$4:$D$25,1)+COUNTIF($D$4:D9,D9)-1</f>
        <v>12</v>
      </c>
      <c r="L9" s="220" t="str">
        <f>INDEX(B4:I25,MATCH(6,K4:K25,0),1)</f>
        <v>Ropczyce</v>
      </c>
      <c r="M9" s="216">
        <f>INDEX(B4:I25,MATCH(6,K4:K25,0),3)</f>
        <v>8160.9958823529405</v>
      </c>
    </row>
    <row r="10" spans="1:13" x14ac:dyDescent="0.25">
      <c r="A10" s="218">
        <v>7</v>
      </c>
      <c r="B10" s="219" t="s">
        <v>79</v>
      </c>
      <c r="C10" s="215">
        <f>SUM(P__!L33)</f>
        <v>12553.818190954773</v>
      </c>
      <c r="D10" s="370">
        <f>SUM(P__!M33)</f>
        <v>8620.3804166666669</v>
      </c>
      <c r="E10" s="215">
        <f>SUM(P__!N33)</f>
        <v>6423.7599999999993</v>
      </c>
      <c r="F10" s="215">
        <f>SUMIF(P__!O33,"&gt;1",(P__!O33))</f>
        <v>7991.192222222222</v>
      </c>
      <c r="G10" s="215">
        <f>SUM(P__!P33)</f>
        <v>23694.158785046729</v>
      </c>
      <c r="H10" s="215">
        <f>SUM(P__!Q33)</f>
        <v>54219.033389830511</v>
      </c>
      <c r="I10" s="215">
        <f>SUM(P__!R33)</f>
        <v>8435.8974358974356</v>
      </c>
      <c r="J10" s="219" t="s">
        <v>143</v>
      </c>
      <c r="K10" s="19">
        <f>RANK(D10,$D$4:$D$25,1)+COUNTIF($D$4:D10,D10)-1</f>
        <v>10</v>
      </c>
      <c r="L10" s="18" t="str">
        <f>INDEX(B4:I25,MATCH(7,K4:K25,0),1)</f>
        <v>Przeworsk</v>
      </c>
      <c r="M10" s="6">
        <f>INDEX(B4:I25,MATCH(7,K4:K25,0),3)</f>
        <v>8368.0500000000011</v>
      </c>
    </row>
    <row r="11" spans="1:13" x14ac:dyDescent="0.25">
      <c r="A11" s="16">
        <v>8</v>
      </c>
      <c r="B11" s="7" t="s">
        <v>80</v>
      </c>
      <c r="C11" s="6">
        <f>SUM(P__!L35)</f>
        <v>12980.238530701754</v>
      </c>
      <c r="D11" s="369">
        <f>SUM(P__!M35)</f>
        <v>11343.624054054055</v>
      </c>
      <c r="E11" s="6">
        <f>SUM(P__!N35)</f>
        <v>9549.6243902439019</v>
      </c>
      <c r="F11" s="6">
        <f>SUMIF(P__!O35,"&gt;1",(P__!O35))</f>
        <v>13031.564930555556</v>
      </c>
      <c r="G11" s="6">
        <f>SUM(P__!P35)</f>
        <v>28104.513513513513</v>
      </c>
      <c r="H11" s="6">
        <f>SUM(P__!Q35)</f>
        <v>110291.49571428572</v>
      </c>
      <c r="I11" s="6">
        <f>SUM(P__!R35)</f>
        <v>10323.529411764706</v>
      </c>
      <c r="J11" s="7">
        <v>1808</v>
      </c>
      <c r="K11" s="19">
        <f>RANK(D11,$D$4:$D$25,1)+COUNTIF($D$4:D11,D11)-1</f>
        <v>18</v>
      </c>
      <c r="L11" s="18" t="str">
        <f>INDEX(B4:I25,MATCH(8,K4:K25,0),1)</f>
        <v>Sanok</v>
      </c>
      <c r="M11" s="6">
        <f>INDEX(B4:I25,MATCH(8,K4:K25,0),3)</f>
        <v>8388.8655223880596</v>
      </c>
    </row>
    <row r="12" spans="1:13" x14ac:dyDescent="0.25">
      <c r="A12" s="16">
        <v>9</v>
      </c>
      <c r="B12" s="7" t="s">
        <v>81</v>
      </c>
      <c r="C12" s="6">
        <f>SUM(P__!L36)</f>
        <v>12888.656102941177</v>
      </c>
      <c r="D12" s="369">
        <f>SUM(P__!M36)</f>
        <v>10973.99</v>
      </c>
      <c r="E12" s="6">
        <f>SUM(P__!N36)</f>
        <v>9369.1174193548377</v>
      </c>
      <c r="F12" s="6">
        <f>SUMIF(P__!O36,"&gt;1",(P__!O36))</f>
        <v>16346.299629629631</v>
      </c>
      <c r="G12" s="6">
        <f>SUM(P__!P36)</f>
        <v>27988.132931034481</v>
      </c>
      <c r="H12" s="216">
        <f>SUMIF(P__!Q36,"&gt;1",(P__!Q36))</f>
        <v>0</v>
      </c>
      <c r="I12" s="6">
        <f>SUMIF(P__!R36,"&gt;1",(P__!R36))</f>
        <v>9749.8708139534883</v>
      </c>
      <c r="J12" s="7">
        <v>1809</v>
      </c>
      <c r="K12" s="19">
        <f>RANK(D12,$D$4:$D$25,1)+COUNTIF($D$4:D12,D12)-1</f>
        <v>15</v>
      </c>
      <c r="L12" s="18" t="str">
        <f>INDEX(B4:I25,MATCH(9,K4:K25,0),1)</f>
        <v>Brzozów</v>
      </c>
      <c r="M12" s="6">
        <f>INDEX(B4:I25,MATCH(9,K4:K25,0),3)</f>
        <v>8595.8549999999996</v>
      </c>
    </row>
    <row r="13" spans="1:13" x14ac:dyDescent="0.25">
      <c r="A13" s="16">
        <v>10</v>
      </c>
      <c r="B13" s="7" t="s">
        <v>82</v>
      </c>
      <c r="C13" s="6">
        <f>SUM(P__!L37)</f>
        <v>15085.837870036099</v>
      </c>
      <c r="D13" s="369">
        <f>SUM(P__!M37)</f>
        <v>12609.18</v>
      </c>
      <c r="E13" s="6">
        <f>SUM(P__!N37)</f>
        <v>8129.4257516339867</v>
      </c>
      <c r="F13" s="6">
        <f>SUMIF(P__!O37,"&gt;1",(P__!O37))</f>
        <v>17523.310650406504</v>
      </c>
      <c r="G13" s="6">
        <f>SUM(P__!P37)</f>
        <v>31102.884615384617</v>
      </c>
      <c r="H13" s="6">
        <f>SUM(P__!Q37)</f>
        <v>37687.5</v>
      </c>
      <c r="I13" s="6">
        <f>SUM(P__!R37)</f>
        <v>8489.3617021276605</v>
      </c>
      <c r="J13" s="7">
        <v>1810</v>
      </c>
      <c r="K13" s="19">
        <f>RANK(D13,$D$4:$D$25,1)+COUNTIF($D$4:D13,D13)-1</f>
        <v>20</v>
      </c>
      <c r="L13" s="18" t="str">
        <f>INDEX(B4:I25,MATCH(10,K4:K25,0),1)</f>
        <v>Krosno</v>
      </c>
      <c r="M13" s="6">
        <f>INDEX(B4:I25,MATCH(10,K4:K25,0),3)</f>
        <v>8620.3804166666669</v>
      </c>
    </row>
    <row r="14" spans="1:13" x14ac:dyDescent="0.25">
      <c r="A14" s="16">
        <v>11</v>
      </c>
      <c r="B14" s="7" t="s">
        <v>83</v>
      </c>
      <c r="C14" s="6">
        <f>SUM(P__!L38)</f>
        <v>8961.8028623188402</v>
      </c>
      <c r="D14" s="369">
        <f>SUM(P__!M38)</f>
        <v>4585.1477777777782</v>
      </c>
      <c r="E14" s="6">
        <f>SUM(P__!N38)</f>
        <v>7577.0269194312796</v>
      </c>
      <c r="F14" s="6">
        <f>SUMIF(P__!O38,"&gt;1",(P__!O38))</f>
        <v>11377.817031250001</v>
      </c>
      <c r="G14" s="6">
        <f>SUM(P__!P38)</f>
        <v>20844.939906542055</v>
      </c>
      <c r="H14" s="6">
        <f>SUM(P__!Q38)</f>
        <v>38286.187350427346</v>
      </c>
      <c r="I14" s="6">
        <f>SUM(P__!R38)</f>
        <v>8000</v>
      </c>
      <c r="J14" s="7">
        <v>1811</v>
      </c>
      <c r="K14" s="153">
        <f>RANK(D14,$D$4:$D$25,1)+COUNTIF($D$4:D14,D14)-1</f>
        <v>3</v>
      </c>
      <c r="L14" s="154" t="str">
        <f>INDEX(B4:I25,MATCH(11,K4:K25,0),1)</f>
        <v>Przemyśl</v>
      </c>
      <c r="M14" s="22">
        <f>INDEX(B4:I25,MATCH(11,K4:K25,0),3)</f>
        <v>8729.228000000001</v>
      </c>
    </row>
    <row r="15" spans="1:13" x14ac:dyDescent="0.25">
      <c r="A15" s="16">
        <v>12</v>
      </c>
      <c r="B15" s="7" t="s">
        <v>84</v>
      </c>
      <c r="C15" s="6">
        <f>SUM(P__!L39)</f>
        <v>14570.84357827476</v>
      </c>
      <c r="D15" s="369">
        <f>SUM(P__!M39)</f>
        <v>15438.321538461538</v>
      </c>
      <c r="E15" s="6">
        <f>SUM(P__!N39)</f>
        <v>8099.6970550161814</v>
      </c>
      <c r="F15" s="6">
        <f>SUMIF(P__!O39,"&gt;1",(P__!O39))</f>
        <v>21828.017884615383</v>
      </c>
      <c r="G15" s="6">
        <f>SUM(P__!P39)</f>
        <v>25669.014084507042</v>
      </c>
      <c r="H15" s="6">
        <f>SUM(P__!Q39)</f>
        <v>65243.697428571431</v>
      </c>
      <c r="I15" s="6">
        <f>SUM(P__!R39)</f>
        <v>14850</v>
      </c>
      <c r="J15" s="7">
        <v>1812</v>
      </c>
      <c r="K15" s="19">
        <f>RANK(D15,$D$4:$D$25,1)+COUNTIF($D$4:D15,D15)-1</f>
        <v>22</v>
      </c>
      <c r="L15" s="18" t="str">
        <f>INDEX(B4:I25,MATCH(12,K4:K25,0),1)</f>
        <v>Kolbuszowa</v>
      </c>
      <c r="M15" s="6">
        <f>INDEX(B4:I25,MATCH(12,K4:K25,0),3)</f>
        <v>9158.8448275862065</v>
      </c>
    </row>
    <row r="16" spans="1:13" x14ac:dyDescent="0.25">
      <c r="A16" s="16">
        <v>13</v>
      </c>
      <c r="B16" s="7" t="s">
        <v>85</v>
      </c>
      <c r="C16" s="6">
        <f>SUM(P__!L40)</f>
        <v>15573.837295454547</v>
      </c>
      <c r="D16" s="369">
        <f>SUM(P__!M40)</f>
        <v>8368.0500000000011</v>
      </c>
      <c r="E16" s="6">
        <f>SUM(P__!N40)</f>
        <v>9730.7848496240604</v>
      </c>
      <c r="F16" s="6">
        <f>SUMIF(P__!O40,"&gt;1",(P__!O40))</f>
        <v>22787.972302158272</v>
      </c>
      <c r="G16" s="6">
        <f>SUM(P__!P40)</f>
        <v>33022.659577464787</v>
      </c>
      <c r="H16" s="6">
        <f>SUM(P__!Q40)</f>
        <v>41252.479767441859</v>
      </c>
      <c r="I16" s="6">
        <f>SUM(P__!R40)</f>
        <v>9086.95652173913</v>
      </c>
      <c r="J16" s="7">
        <v>1814</v>
      </c>
      <c r="K16" s="20">
        <f>RANK(D16,$D$4:$D$25,1)+COUNTIF($D$4:D16,D16)-1</f>
        <v>7</v>
      </c>
      <c r="L16" s="21" t="str">
        <f>INDEX(B4:I25,MATCH(13,K4:K25,0),1)</f>
        <v>Dębica</v>
      </c>
      <c r="M16" s="6">
        <f>INDEX(B4:I25,MATCH(13,K4:K25,0),3)</f>
        <v>10251.5</v>
      </c>
    </row>
    <row r="17" spans="1:13" x14ac:dyDescent="0.25">
      <c r="A17" s="16">
        <v>14</v>
      </c>
      <c r="B17" s="7" t="s">
        <v>86</v>
      </c>
      <c r="C17" s="6">
        <f>SUM(P__!L41)</f>
        <v>12915.99174796748</v>
      </c>
      <c r="D17" s="369">
        <f>SUM(P__!M41)</f>
        <v>8160.9958823529405</v>
      </c>
      <c r="E17" s="6">
        <f>SUM(P__!N41)</f>
        <v>10445.929351851853</v>
      </c>
      <c r="F17" s="6">
        <f>SUMIF(P__!O41,"&gt;1",(P__!O41))</f>
        <v>20292.108787878788</v>
      </c>
      <c r="G17" s="6">
        <f>SUM(P__!P41)</f>
        <v>29123.921538461538</v>
      </c>
      <c r="H17" s="6">
        <f>SUM(P__!Q41)</f>
        <v>40850.424109589039</v>
      </c>
      <c r="I17" s="6">
        <f>SUM(P__!R41)</f>
        <v>5888.8888888888887</v>
      </c>
      <c r="J17" s="7">
        <v>1815</v>
      </c>
      <c r="K17" s="20">
        <f>RANK(D17,$D$4:$D$25,1)+COUNTIF($D$4:D17,D17)-1</f>
        <v>6</v>
      </c>
      <c r="L17" s="21" t="str">
        <f>INDEX(B4:I25,MATCH(14,K4:K25,0),1)</f>
        <v>Jarosław</v>
      </c>
      <c r="M17" s="6">
        <f>INDEX(B4:I25,MATCH(14,K4:K25,0),3)</f>
        <v>10438.48</v>
      </c>
    </row>
    <row r="18" spans="1:13" x14ac:dyDescent="0.25">
      <c r="A18" s="218">
        <v>15</v>
      </c>
      <c r="B18" s="219" t="s">
        <v>87</v>
      </c>
      <c r="C18" s="215">
        <f>SUM(P__!L43)</f>
        <v>11904.609334389857</v>
      </c>
      <c r="D18" s="370">
        <f>SUM(P__!M43)</f>
        <v>2739.4103448275864</v>
      </c>
      <c r="E18" s="215">
        <f>SUM(P__!N43)</f>
        <v>10371.263699633701</v>
      </c>
      <c r="F18" s="215">
        <f>SUMIF(P__!O43,"&gt;1",(P__!O43))</f>
        <v>21381.615312500002</v>
      </c>
      <c r="G18" s="215">
        <f>SUM(P__!P43)</f>
        <v>49685.009080459771</v>
      </c>
      <c r="H18" s="215">
        <f>SUM(P__!Q43)</f>
        <v>74903.813303571427</v>
      </c>
      <c r="I18" s="215">
        <f>SUM(P__!R43)</f>
        <v>11535.76390625</v>
      </c>
      <c r="J18" s="219" t="s">
        <v>145</v>
      </c>
      <c r="K18" s="16">
        <f>RANK(D18,$D$4:$D$25,1)+COUNTIF($D$4:D18,D18)-1</f>
        <v>1</v>
      </c>
      <c r="L18" s="7" t="str">
        <f>INDEX(B4:I25,MATCH(15,K4:K25,0),1)</f>
        <v>Lubaczów</v>
      </c>
      <c r="M18" s="6">
        <f>INDEX(B4:I25,MATCH(15,K4:K25,0),3)</f>
        <v>10973.99</v>
      </c>
    </row>
    <row r="19" spans="1:13" x14ac:dyDescent="0.25">
      <c r="A19" s="16">
        <v>16</v>
      </c>
      <c r="B19" s="7" t="s">
        <v>88</v>
      </c>
      <c r="C19" s="6">
        <f>SUM(P__!L44)</f>
        <v>12328.4198125</v>
      </c>
      <c r="D19" s="369">
        <f>SUM(P__!M44)</f>
        <v>8388.8655223880596</v>
      </c>
      <c r="E19" s="6">
        <f>SUM(P__!N44)</f>
        <v>7298.9246111111106</v>
      </c>
      <c r="F19" s="6">
        <f>SUMIF(P__!O44,"&gt;1",(P__!O44))</f>
        <v>10000.877894736841</v>
      </c>
      <c r="G19" s="6">
        <f>SUM(P__!P44)</f>
        <v>25636.279687499999</v>
      </c>
      <c r="H19" s="6">
        <f>SUM(P__!Q44)</f>
        <v>47949.561836734691</v>
      </c>
      <c r="I19" s="6">
        <f>SUM(P__!R44)</f>
        <v>9954.5555555555547</v>
      </c>
      <c r="J19" s="7">
        <v>1817</v>
      </c>
      <c r="K19" s="16">
        <f>RANK(D19,$D$4:$D$25,1)+COUNTIF($D$4:D19,D19)-1</f>
        <v>8</v>
      </c>
      <c r="L19" s="7" t="str">
        <f>INDEX(B4:I25,MATCH(16,K4:K25,0),1)</f>
        <v>Strzyżów</v>
      </c>
      <c r="M19" s="6">
        <f>INDEX(B4:I25,MATCH(16,K4:K25,0),3)</f>
        <v>10985.015333333335</v>
      </c>
    </row>
    <row r="20" spans="1:13" x14ac:dyDescent="0.25">
      <c r="A20" s="16">
        <v>17</v>
      </c>
      <c r="B20" s="7" t="s">
        <v>89</v>
      </c>
      <c r="C20" s="6">
        <f>SUM(P__!L45)</f>
        <v>13350.010120967741</v>
      </c>
      <c r="D20" s="369">
        <f>SUM(P__!M45)</f>
        <v>3372.0714150943395</v>
      </c>
      <c r="E20" s="6">
        <f>SUM(P__!N45)</f>
        <v>9714.0203846153836</v>
      </c>
      <c r="F20" s="6">
        <f>SUMIF(P__!O45,"&gt;1",(P__!O45))</f>
        <v>17629.1836</v>
      </c>
      <c r="G20" s="6">
        <f>SUM(P__!P45)</f>
        <v>22324.325232558138</v>
      </c>
      <c r="H20" s="6">
        <f>SUM(P__!Q45)</f>
        <v>58375.379230769235</v>
      </c>
      <c r="I20" s="6">
        <f>SUM(P__!R45)</f>
        <v>8169.3208823529403</v>
      </c>
      <c r="J20" s="7">
        <v>1818</v>
      </c>
      <c r="K20" s="16">
        <f>RANK(D20,$D$4:$D$25,1)+COUNTIF($D$4:D20,D20)-1</f>
        <v>2</v>
      </c>
      <c r="L20" s="7" t="str">
        <f>INDEX(B4:I25,MATCH(17,K4:K25,0),1)</f>
        <v>Jasło</v>
      </c>
      <c r="M20" s="6">
        <f>INDEX(B4:I25,MATCH(17,K4:K25,0),3)</f>
        <v>11194.186874999999</v>
      </c>
    </row>
    <row r="21" spans="1:13" x14ac:dyDescent="0.25">
      <c r="A21" s="16">
        <v>18</v>
      </c>
      <c r="B21" s="7" t="s">
        <v>90</v>
      </c>
      <c r="C21" s="6">
        <f>SUM(P__!L46)</f>
        <v>13442.706183953034</v>
      </c>
      <c r="D21" s="369">
        <f>SUM(P__!M46)</f>
        <v>10985.015333333335</v>
      </c>
      <c r="E21" s="6">
        <f>SUM(P__!N46)</f>
        <v>7578.7800000000007</v>
      </c>
      <c r="F21" s="6">
        <f>SUMIF(P__!O46,"&gt;1",(P__!O46))</f>
        <v>16393.417863247862</v>
      </c>
      <c r="G21" s="6">
        <f>SUM(P__!P46)</f>
        <v>37943.405529411764</v>
      </c>
      <c r="H21" s="6">
        <f>SUM(P__!Q46)</f>
        <v>58952.05169811321</v>
      </c>
      <c r="I21" s="6">
        <f>SUM(P__!R46)</f>
        <v>10722.222222222223</v>
      </c>
      <c r="J21" s="7">
        <v>1819</v>
      </c>
      <c r="K21" s="16">
        <f>RANK(D21,$D$4:$D$25,1)+COUNTIF($D$4:D21,D21)-1</f>
        <v>16</v>
      </c>
      <c r="L21" s="7" t="str">
        <f>INDEX(B4:I25,MATCH(18,K4:K25,0),1)</f>
        <v>Leżajsk</v>
      </c>
      <c r="M21" s="6">
        <f>INDEX(B4:I25,MATCH(18,K4:K25,0),3)</f>
        <v>11343.624054054055</v>
      </c>
    </row>
    <row r="22" spans="1:13" x14ac:dyDescent="0.25">
      <c r="A22" s="218">
        <v>19</v>
      </c>
      <c r="B22" s="219" t="s">
        <v>91</v>
      </c>
      <c r="C22" s="215">
        <f>SUM(P__!L47)</f>
        <v>12141.553074074074</v>
      </c>
      <c r="D22" s="370">
        <f>SUM(P__!M47)</f>
        <v>12682.744615384614</v>
      </c>
      <c r="E22" s="215">
        <f>SUM(P__!N47)</f>
        <v>8848.4821249999986</v>
      </c>
      <c r="F22" s="215">
        <f>SUMIF(P__!O47,"&gt;1",(P__!O47))</f>
        <v>15637.929335793357</v>
      </c>
      <c r="G22" s="215">
        <f>SUM(P__!P47)</f>
        <v>19700.752253521125</v>
      </c>
      <c r="H22" s="215">
        <f>SUM(P__!Q47)</f>
        <v>28929.117631578945</v>
      </c>
      <c r="I22" s="215">
        <f>SUM(P__!R47)</f>
        <v>8913.7588888888895</v>
      </c>
      <c r="J22" s="219" t="s">
        <v>146</v>
      </c>
      <c r="K22" s="16">
        <f>RANK(D22,$D$4:$D$25,1)+COUNTIF($D$4:D22,D22)-1</f>
        <v>21</v>
      </c>
      <c r="L22" s="7" t="str">
        <f>INDEX(B4:I25,MATCH(19,K4:K25,0),1)</f>
        <v>Ustrzyki Dolne</v>
      </c>
      <c r="M22" s="6">
        <f>INDEX(B4:I25,MATCH(19,K4:K25,0),3)</f>
        <v>11344.465</v>
      </c>
    </row>
    <row r="23" spans="1:13" x14ac:dyDescent="0.25">
      <c r="A23" s="16">
        <v>20</v>
      </c>
      <c r="B23" s="7" t="s">
        <v>92</v>
      </c>
      <c r="C23" s="6">
        <f>SUM(P__!L48)</f>
        <v>13395.393404255319</v>
      </c>
      <c r="D23" s="369">
        <f>SUM(P__!M48)</f>
        <v>5553.9644444444448</v>
      </c>
      <c r="E23" s="6">
        <f>SUM(P__!N48)</f>
        <v>5895.8222857142855</v>
      </c>
      <c r="F23" s="6">
        <f>SUMIF(P__!O48,"&gt;1",(P__!O48))</f>
        <v>21436.601666666669</v>
      </c>
      <c r="G23" s="6">
        <f>SUM(P__!P48)</f>
        <v>44073.572068965521</v>
      </c>
      <c r="H23" s="6">
        <f>SUM(P__!Q48)</f>
        <v>127669.182</v>
      </c>
      <c r="I23" s="6">
        <f>SUM(P__!R48)</f>
        <v>14985.714285714286</v>
      </c>
      <c r="J23" s="7">
        <v>1821</v>
      </c>
      <c r="K23" s="16">
        <f>RANK(D23,$D$4:$D$25,1)+COUNTIF($D$4:D23,D23)-1</f>
        <v>4</v>
      </c>
      <c r="L23" s="7" t="str">
        <f>INDEX(B4:I25,MATCH(20,K4:K25,0),1)</f>
        <v>Łańcut</v>
      </c>
      <c r="M23" s="6">
        <f>INDEX(B4:I25,MATCH(20,K4:K25,0),3)</f>
        <v>12609.18</v>
      </c>
    </row>
    <row r="24" spans="1:13" x14ac:dyDescent="0.25">
      <c r="A24" s="218">
        <v>21</v>
      </c>
      <c r="B24" s="219" t="s">
        <v>97</v>
      </c>
      <c r="C24" s="215">
        <f>SUM(P__!L49)</f>
        <v>13481.052800000001</v>
      </c>
      <c r="D24" s="370">
        <f>SUM(P__!M49)</f>
        <v>8729.228000000001</v>
      </c>
      <c r="E24" s="215">
        <f>SUM(P__!N49)</f>
        <v>11767.826356275304</v>
      </c>
      <c r="F24" s="215">
        <f>SUMIF(P__!O49,"&gt;1",(P__!O49))</f>
        <v>16358.021860465115</v>
      </c>
      <c r="G24" s="215">
        <f>SUM(P__!P49)</f>
        <v>22824.840641025643</v>
      </c>
      <c r="H24" s="215">
        <f>SUM(P__!Q49)</f>
        <v>38564.820476190478</v>
      </c>
      <c r="I24" s="215">
        <f>SUM(P__!R49)</f>
        <v>9857.1428571428569</v>
      </c>
      <c r="J24" s="219" t="s">
        <v>144</v>
      </c>
      <c r="K24" s="16">
        <f>RANK(D24,$D$4:$D$25,1)+COUNTIF($D$4:D24,D24)-1</f>
        <v>11</v>
      </c>
      <c r="L24" s="7" t="str">
        <f>INDEX(B4:I25,MATCH(21,K4:K25,0),1)</f>
        <v>Tarnobrzeg</v>
      </c>
      <c r="M24" s="6">
        <f>INDEX(B4:I25,MATCH(21,K4:K25,0),3)</f>
        <v>12682.744615384614</v>
      </c>
    </row>
    <row r="25" spans="1:13" x14ac:dyDescent="0.25">
      <c r="A25" s="16">
        <v>22</v>
      </c>
      <c r="B25" s="18" t="s">
        <v>100</v>
      </c>
      <c r="C25" s="6">
        <f>SUM(P__!L50)</f>
        <v>13014.846298394708</v>
      </c>
      <c r="D25" s="369">
        <f>SUM(P__!M50)</f>
        <v>7250.3362483994879</v>
      </c>
      <c r="E25" s="6">
        <f>SUM(P__!N50)</f>
        <v>8721.5238630299427</v>
      </c>
      <c r="F25" s="6">
        <f>SUMIF(P__!O50,"&gt;1",(P__!O50))</f>
        <v>17225.128580246917</v>
      </c>
      <c r="G25" s="6">
        <f>SUM(P__!P50)</f>
        <v>29182.742895805139</v>
      </c>
      <c r="H25" s="6">
        <f>SUM(P__!Q50)</f>
        <v>53083.715462184882</v>
      </c>
      <c r="I25" s="6">
        <f>SUM(P__!R50)</f>
        <v>11216.649255202628</v>
      </c>
      <c r="J25" s="7">
        <v>1800</v>
      </c>
      <c r="K25" s="16">
        <f>RANK(D25,$D$4:$D$25,1)+COUNTIF($D$4:D25,D25)-1</f>
        <v>5</v>
      </c>
      <c r="L25" s="7" t="str">
        <f>INDEX(B4:I25,MATCH(22,K4:K25,0),1)</f>
        <v>Nisko</v>
      </c>
      <c r="M25" s="6">
        <f>INDEX(B4:I25,MATCH(22,K4:K25,0),3)</f>
        <v>15438.321538461538</v>
      </c>
    </row>
    <row r="26" spans="1:13" x14ac:dyDescent="0.25">
      <c r="B26" s="10"/>
      <c r="C26" s="10">
        <v>1</v>
      </c>
      <c r="D26" s="10">
        <v>2</v>
      </c>
      <c r="E26" s="10">
        <v>3</v>
      </c>
      <c r="F26" s="10">
        <v>4</v>
      </c>
      <c r="G26" s="10">
        <v>5</v>
      </c>
      <c r="H26" s="10">
        <v>6</v>
      </c>
      <c r="I26" s="10">
        <v>7</v>
      </c>
    </row>
    <row r="27" spans="1:13" x14ac:dyDescent="0.25">
      <c r="A27" s="16">
        <v>1</v>
      </c>
      <c r="B27" s="17" t="s">
        <v>1</v>
      </c>
      <c r="C27" s="15" t="s">
        <v>152</v>
      </c>
      <c r="F27" s="10"/>
    </row>
    <row r="28" spans="1:13" x14ac:dyDescent="0.25">
      <c r="A28" s="348">
        <v>2</v>
      </c>
      <c r="B28" s="368" t="s">
        <v>2</v>
      </c>
      <c r="C28" s="15" t="s">
        <v>152</v>
      </c>
    </row>
    <row r="29" spans="1:13" x14ac:dyDescent="0.25">
      <c r="A29" s="16">
        <v>3</v>
      </c>
      <c r="B29" s="17" t="s">
        <v>3</v>
      </c>
      <c r="C29" s="15" t="s">
        <v>152</v>
      </c>
    </row>
    <row r="30" spans="1:13" x14ac:dyDescent="0.25">
      <c r="A30" s="16">
        <v>4</v>
      </c>
      <c r="B30" s="17" t="s">
        <v>4</v>
      </c>
      <c r="C30" s="15" t="s">
        <v>152</v>
      </c>
    </row>
    <row r="31" spans="1:13" x14ac:dyDescent="0.25">
      <c r="A31" s="16">
        <v>5</v>
      </c>
      <c r="B31" s="17" t="s">
        <v>16</v>
      </c>
      <c r="C31" s="15" t="s">
        <v>152</v>
      </c>
    </row>
    <row r="32" spans="1:13" x14ac:dyDescent="0.25">
      <c r="A32" s="16">
        <v>6</v>
      </c>
      <c r="B32" s="17" t="s">
        <v>17</v>
      </c>
      <c r="C32" s="15" t="s">
        <v>152</v>
      </c>
    </row>
    <row r="33" spans="1:3" x14ac:dyDescent="0.25">
      <c r="A33" s="16">
        <v>7</v>
      </c>
      <c r="B33" s="17" t="s">
        <v>11</v>
      </c>
      <c r="C33" s="15" t="s">
        <v>152</v>
      </c>
    </row>
  </sheetData>
  <sortState xmlns:xlrd2="http://schemas.microsoft.com/office/spreadsheetml/2017/richdata2" ref="A4:H25">
    <sortCondition ref="D4:D25"/>
  </sortState>
  <pageMargins left="0.7" right="0.7" top="0.75" bottom="0.75" header="0.3" footer="0.3"/>
  <pageSetup paperSize="9"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V40"/>
  <sheetViews>
    <sheetView zoomScale="90" zoomScaleNormal="90" workbookViewId="0">
      <selection activeCell="B1" sqref="B1"/>
    </sheetView>
  </sheetViews>
  <sheetFormatPr defaultRowHeight="14.25" x14ac:dyDescent="0.2"/>
  <cols>
    <col min="1" max="1" width="1.7109375" style="117" customWidth="1"/>
    <col min="2" max="2" width="5.5703125" style="117" customWidth="1"/>
    <col min="3" max="3" width="62.42578125" style="117" customWidth="1"/>
    <col min="4" max="4" width="10.85546875" style="117" customWidth="1"/>
    <col min="5" max="5" width="10.42578125" style="117" customWidth="1"/>
    <col min="6" max="6" width="10.140625" style="117" customWidth="1"/>
    <col min="7" max="8" width="14.42578125" style="117" customWidth="1"/>
    <col min="9" max="9" width="12.28515625" style="117" customWidth="1"/>
    <col min="10" max="10" width="14.5703125" style="117" customWidth="1"/>
    <col min="11" max="11" width="12.140625" style="117" customWidth="1"/>
    <col min="12" max="12" width="4" style="117" customWidth="1"/>
    <col min="13" max="13" width="4.28515625" style="117" customWidth="1"/>
    <col min="14" max="16" width="9.140625" style="117"/>
    <col min="17" max="18" width="9.5703125" style="117" bestFit="1" customWidth="1"/>
    <col min="19" max="19" width="9.140625" style="117"/>
    <col min="20" max="21" width="10.5703125" style="117" bestFit="1" customWidth="1"/>
    <col min="22" max="22" width="9.28515625" style="117" bestFit="1" customWidth="1"/>
    <col min="23" max="16384" width="9.140625" style="117"/>
  </cols>
  <sheetData>
    <row r="1" spans="2:22" ht="15" thickBot="1" x14ac:dyDescent="0.25">
      <c r="B1" s="230" t="s">
        <v>277</v>
      </c>
      <c r="D1" s="118"/>
      <c r="E1" s="118"/>
      <c r="F1" s="118"/>
      <c r="G1" s="416" t="s">
        <v>269</v>
      </c>
      <c r="H1" s="572" t="s">
        <v>266</v>
      </c>
      <c r="I1" s="118"/>
      <c r="J1" s="118"/>
      <c r="K1" s="118"/>
    </row>
    <row r="2" spans="2:22" x14ac:dyDescent="0.2">
      <c r="B2" s="315"/>
      <c r="C2" s="610" t="s">
        <v>323</v>
      </c>
      <c r="D2" s="316"/>
      <c r="E2" s="317"/>
      <c r="F2" s="318"/>
      <c r="G2" s="316"/>
      <c r="H2" s="318"/>
      <c r="I2" s="316"/>
      <c r="J2" s="316"/>
      <c r="K2" s="319"/>
    </row>
    <row r="3" spans="2:22" ht="66" customHeight="1" x14ac:dyDescent="0.2">
      <c r="B3" s="320"/>
      <c r="C3" s="611"/>
      <c r="D3" s="321" t="s">
        <v>108</v>
      </c>
      <c r="E3" s="322" t="s">
        <v>109</v>
      </c>
      <c r="F3" s="323" t="s">
        <v>110</v>
      </c>
      <c r="G3" s="324" t="s">
        <v>111</v>
      </c>
      <c r="H3" s="323" t="s">
        <v>239</v>
      </c>
      <c r="I3" s="321" t="s">
        <v>167</v>
      </c>
      <c r="J3" s="325" t="s">
        <v>186</v>
      </c>
      <c r="K3" s="326" t="s">
        <v>185</v>
      </c>
    </row>
    <row r="4" spans="2:22" ht="36" x14ac:dyDescent="0.2">
      <c r="B4" s="327" t="s">
        <v>106</v>
      </c>
      <c r="C4" s="611"/>
      <c r="D4" s="321"/>
      <c r="E4" s="322"/>
      <c r="F4" s="323"/>
      <c r="G4" s="321" t="s">
        <v>238</v>
      </c>
      <c r="H4" s="323" t="s">
        <v>237</v>
      </c>
      <c r="I4" s="321"/>
      <c r="J4" s="328"/>
      <c r="K4" s="323" t="s">
        <v>237</v>
      </c>
    </row>
    <row r="5" spans="2:22" ht="15" thickBot="1" x14ac:dyDescent="0.25">
      <c r="B5" s="329"/>
      <c r="C5" s="612"/>
      <c r="D5" s="330"/>
      <c r="E5" s="331"/>
      <c r="F5" s="332"/>
      <c r="G5" s="330"/>
      <c r="H5" s="332"/>
      <c r="I5" s="330"/>
      <c r="J5" s="330"/>
      <c r="K5" s="333"/>
      <c r="N5" s="157"/>
      <c r="O5" s="157"/>
      <c r="P5" s="158"/>
      <c r="Q5" s="157"/>
      <c r="R5" s="157"/>
      <c r="S5" s="158"/>
      <c r="T5" s="157"/>
      <c r="U5" s="157"/>
      <c r="V5" s="158"/>
    </row>
    <row r="6" spans="2:22" x14ac:dyDescent="0.2">
      <c r="B6" s="131">
        <v>1</v>
      </c>
      <c r="C6" s="132" t="s">
        <v>2</v>
      </c>
      <c r="D6" s="133">
        <f>SUM('z20'!F6)</f>
        <v>790</v>
      </c>
      <c r="E6" s="134">
        <f>SUM('z20'!G6)</f>
        <v>735</v>
      </c>
      <c r="F6" s="135">
        <f>SUM('z20'!H6)</f>
        <v>482</v>
      </c>
      <c r="G6" s="136">
        <f>SUM(F6/E6)*100</f>
        <v>65.578231292517003</v>
      </c>
      <c r="H6" s="137">
        <f>SUM(J6/F6)</f>
        <v>5806.0165975103737</v>
      </c>
      <c r="I6" s="136">
        <f>SUM('z20'!E6)</f>
        <v>2798.5</v>
      </c>
      <c r="J6" s="133">
        <f>SUM(I6*1000)</f>
        <v>2798500</v>
      </c>
      <c r="K6" s="138">
        <f>SUM(J6/D6)</f>
        <v>3542.4050632911394</v>
      </c>
      <c r="N6" s="157"/>
      <c r="O6" s="157"/>
      <c r="P6" s="158"/>
      <c r="Q6" s="157"/>
      <c r="R6" s="157"/>
      <c r="S6" s="157"/>
      <c r="T6" s="159"/>
      <c r="U6" s="159"/>
      <c r="V6" s="159"/>
    </row>
    <row r="7" spans="2:22" x14ac:dyDescent="0.2">
      <c r="B7" s="119">
        <v>2</v>
      </c>
      <c r="C7" s="120" t="s">
        <v>1</v>
      </c>
      <c r="D7" s="121">
        <f>SUM('z20'!F5)</f>
        <v>8841</v>
      </c>
      <c r="E7" s="122">
        <f>SUM('z20'!G5)</f>
        <v>5591</v>
      </c>
      <c r="F7" s="123">
        <f>SUM('z20'!H5)</f>
        <v>4590</v>
      </c>
      <c r="G7" s="124">
        <f t="shared" ref="G7:G11" si="0">SUM(F7/E7)*100</f>
        <v>82.096226077624763</v>
      </c>
      <c r="H7" s="125">
        <f t="shared" ref="H7:H8" si="1">SUM(J7/F7)</f>
        <v>10636.906318082789</v>
      </c>
      <c r="I7" s="124">
        <f>SUM('z20'!E5)</f>
        <v>48823.4</v>
      </c>
      <c r="J7" s="121">
        <f t="shared" ref="J7:J10" si="2">SUM(I7*1000)</f>
        <v>48823400</v>
      </c>
      <c r="K7" s="126">
        <f>SUM(J7/D7)</f>
        <v>5522.3843456622553</v>
      </c>
      <c r="N7" s="157"/>
      <c r="O7" s="157"/>
      <c r="P7" s="158"/>
      <c r="Q7" s="157"/>
      <c r="R7" s="157"/>
      <c r="S7" s="157"/>
      <c r="T7" s="159"/>
      <c r="U7" s="159"/>
      <c r="V7" s="159"/>
    </row>
    <row r="8" spans="2:22" x14ac:dyDescent="0.2">
      <c r="B8" s="119">
        <v>3</v>
      </c>
      <c r="C8" s="120" t="s">
        <v>3</v>
      </c>
      <c r="D8" s="121">
        <f>SUM('z20'!F7)</f>
        <v>4396</v>
      </c>
      <c r="E8" s="122">
        <f>SUM('z20'!G7)</f>
        <v>3330</v>
      </c>
      <c r="F8" s="123">
        <f>SUM('z20'!H7)</f>
        <v>3134</v>
      </c>
      <c r="G8" s="124">
        <f t="shared" si="0"/>
        <v>94.114114114114116</v>
      </c>
      <c r="H8" s="125">
        <f t="shared" si="1"/>
        <v>5170.7402680280793</v>
      </c>
      <c r="I8" s="124">
        <f>SUM('z20'!E7)</f>
        <v>16205.1</v>
      </c>
      <c r="J8" s="121">
        <f t="shared" si="2"/>
        <v>16205100</v>
      </c>
      <c r="K8" s="126">
        <f>SUM(J8/D8)</f>
        <v>3686.3284804367609</v>
      </c>
      <c r="N8" s="157"/>
      <c r="O8" s="157"/>
      <c r="P8" s="158"/>
      <c r="Q8" s="157"/>
      <c r="R8" s="157"/>
      <c r="S8" s="157"/>
      <c r="T8" s="159"/>
      <c r="U8" s="159"/>
      <c r="V8" s="159"/>
    </row>
    <row r="9" spans="2:22" x14ac:dyDescent="0.2">
      <c r="B9" s="119">
        <v>4</v>
      </c>
      <c r="C9" s="120" t="s">
        <v>4</v>
      </c>
      <c r="D9" s="121">
        <f>SUM('z20'!F8)</f>
        <v>1649</v>
      </c>
      <c r="E9" s="122">
        <f>SUM('z20'!G8)</f>
        <v>1465</v>
      </c>
      <c r="F9" s="123">
        <f>SUM('z20'!H8)</f>
        <v>1348</v>
      </c>
      <c r="G9" s="124">
        <f t="shared" si="0"/>
        <v>92.0136518771331</v>
      </c>
      <c r="H9" s="125">
        <f>SUM(J9/F9)</f>
        <v>12089.39169139466</v>
      </c>
      <c r="I9" s="124">
        <f>SUM('z20'!E8)</f>
        <v>16296.5</v>
      </c>
      <c r="J9" s="121">
        <f t="shared" si="2"/>
        <v>16296500</v>
      </c>
      <c r="K9" s="126">
        <f t="shared" ref="K9:K11" si="3">SUM(J9/D9)</f>
        <v>9882.6561552456042</v>
      </c>
      <c r="N9" s="157"/>
      <c r="O9" s="157"/>
      <c r="P9" s="158"/>
      <c r="Q9" s="157"/>
      <c r="R9" s="157"/>
      <c r="S9" s="157"/>
      <c r="T9" s="159"/>
      <c r="U9" s="159"/>
      <c r="V9" s="159"/>
    </row>
    <row r="10" spans="2:22" x14ac:dyDescent="0.2">
      <c r="B10" s="119">
        <v>5</v>
      </c>
      <c r="C10" s="120" t="s">
        <v>58</v>
      </c>
      <c r="D10" s="121">
        <f>SUM('z20'!F22)</f>
        <v>1764</v>
      </c>
      <c r="E10" s="122">
        <f>SUM('z20'!G22)</f>
        <v>2286</v>
      </c>
      <c r="F10" s="123">
        <f>SUM('z20'!H22)</f>
        <v>2256</v>
      </c>
      <c r="G10" s="124">
        <f t="shared" si="0"/>
        <v>98.687664041994751</v>
      </c>
      <c r="H10" s="125">
        <f>SUM(J10/F10)</f>
        <v>16038.785460992907</v>
      </c>
      <c r="I10" s="124">
        <f>SUM('z20'!E22)</f>
        <v>36183.5</v>
      </c>
      <c r="J10" s="121">
        <f t="shared" si="2"/>
        <v>36183500</v>
      </c>
      <c r="K10" s="126">
        <f t="shared" si="3"/>
        <v>20512.188208616779</v>
      </c>
      <c r="N10" s="157"/>
      <c r="O10" s="157"/>
      <c r="P10" s="158"/>
      <c r="Q10" s="157"/>
      <c r="R10" s="157"/>
      <c r="S10" s="157"/>
      <c r="T10" s="159"/>
      <c r="U10" s="159"/>
      <c r="V10" s="159"/>
    </row>
    <row r="11" spans="2:22" ht="15" customHeight="1" x14ac:dyDescent="0.2">
      <c r="B11" s="139">
        <v>6</v>
      </c>
      <c r="C11" s="140" t="s">
        <v>59</v>
      </c>
      <c r="D11" s="141">
        <f>SUM('z20'!F24)</f>
        <v>1409</v>
      </c>
      <c r="E11" s="142">
        <f>SUM('z20'!G24)</f>
        <v>1847</v>
      </c>
      <c r="F11" s="143">
        <f>SUM('z20'!H24)</f>
        <v>1689</v>
      </c>
      <c r="G11" s="144">
        <f t="shared" si="0"/>
        <v>91.445587439090417</v>
      </c>
      <c r="H11" s="145">
        <f>SUM(J11/F11)</f>
        <v>17460.272350503255</v>
      </c>
      <c r="I11" s="144">
        <f>SUM('z20'!E24)</f>
        <v>29490.400000000001</v>
      </c>
      <c r="J11" s="141">
        <f>SUM(I11*1000)</f>
        <v>29490400</v>
      </c>
      <c r="K11" s="146">
        <f t="shared" si="3"/>
        <v>20930.021291696237</v>
      </c>
      <c r="N11" s="157"/>
      <c r="O11" s="157"/>
      <c r="P11" s="158"/>
      <c r="Q11" s="157"/>
      <c r="R11" s="157"/>
      <c r="S11" s="157"/>
      <c r="T11" s="159"/>
      <c r="U11" s="159"/>
      <c r="V11" s="159"/>
    </row>
    <row r="12" spans="2:22" ht="15" customHeight="1" thickBot="1" x14ac:dyDescent="0.25">
      <c r="B12" s="139">
        <v>7</v>
      </c>
      <c r="C12" s="140" t="s">
        <v>11</v>
      </c>
      <c r="D12" s="141">
        <f>SUM('z20'!F17)</f>
        <v>915</v>
      </c>
      <c r="E12" s="142">
        <f>SUM('z20'!G17)</f>
        <v>1192</v>
      </c>
      <c r="F12" s="143">
        <f>SUM('z20'!H17)</f>
        <v>1100</v>
      </c>
      <c r="G12" s="144">
        <f t="shared" ref="G12" si="4">SUM(F12/E12)*100</f>
        <v>92.281879194630861</v>
      </c>
      <c r="H12" s="145">
        <f t="shared" ref="H12" si="5">SUM(J12/F12)</f>
        <v>6313.181818181818</v>
      </c>
      <c r="I12" s="144">
        <f>SUM('z20'!E17)</f>
        <v>6944.5</v>
      </c>
      <c r="J12" s="141">
        <f>SUM(I12*1000)</f>
        <v>6944500</v>
      </c>
      <c r="K12" s="146">
        <f>SUM(J12/D12)</f>
        <v>7589.6174863387978</v>
      </c>
      <c r="N12" s="157"/>
      <c r="O12" s="157"/>
      <c r="P12" s="158"/>
      <c r="Q12" s="157"/>
      <c r="R12" s="157"/>
      <c r="S12" s="157"/>
      <c r="T12" s="159"/>
      <c r="U12" s="159"/>
      <c r="V12" s="159"/>
    </row>
    <row r="13" spans="2:22" ht="15" thickBot="1" x14ac:dyDescent="0.25">
      <c r="B13" s="334">
        <v>8</v>
      </c>
      <c r="C13" s="335" t="s">
        <v>305</v>
      </c>
      <c r="D13" s="336">
        <f>SUM(D6:D11)</f>
        <v>18849</v>
      </c>
      <c r="E13" s="337">
        <f>SUM(E6:E11)</f>
        <v>15254</v>
      </c>
      <c r="F13" s="338">
        <f>SUM(F6:F11)</f>
        <v>13499</v>
      </c>
      <c r="G13" s="339">
        <f>SUM(F13/E13)*100</f>
        <v>88.49482103054936</v>
      </c>
      <c r="H13" s="340">
        <f>SUM(J13/F13)</f>
        <v>11096.925698199866</v>
      </c>
      <c r="I13" s="339">
        <f>SUM(I6:I11)</f>
        <v>149797.4</v>
      </c>
      <c r="J13" s="336">
        <f>SUM(I13*1000)</f>
        <v>149797400</v>
      </c>
      <c r="K13" s="342">
        <f>SUM(J13/D13)</f>
        <v>7947.2332749747993</v>
      </c>
      <c r="N13" s="157"/>
      <c r="O13" s="157"/>
      <c r="P13" s="158"/>
      <c r="Q13" s="157"/>
      <c r="R13" s="157"/>
      <c r="S13" s="157"/>
      <c r="T13" s="159"/>
      <c r="U13" s="159"/>
      <c r="V13" s="159"/>
    </row>
    <row r="14" spans="2:22" ht="15" thickBot="1" x14ac:dyDescent="0.25">
      <c r="B14" s="334">
        <v>9</v>
      </c>
      <c r="C14" s="335" t="s">
        <v>309</v>
      </c>
      <c r="D14" s="336">
        <f>SUM(D6:D12)</f>
        <v>19764</v>
      </c>
      <c r="E14" s="337">
        <f>SUM(E6:E12)</f>
        <v>16446</v>
      </c>
      <c r="F14" s="338">
        <f>SUM(F6:F12)</f>
        <v>14599</v>
      </c>
      <c r="G14" s="339">
        <f>SUM(F14/E14)*100</f>
        <v>88.769305606226439</v>
      </c>
      <c r="H14" s="340">
        <f>SUM(J14/F14)</f>
        <v>10736.48195081855</v>
      </c>
      <c r="I14" s="339">
        <f>SUM(I6:I12)</f>
        <v>156741.9</v>
      </c>
      <c r="J14" s="336">
        <f>SUM(I14*1000)</f>
        <v>156741900</v>
      </c>
      <c r="K14" s="342">
        <f>SUM(J14/D14)</f>
        <v>7930.6769884638734</v>
      </c>
      <c r="N14" s="158"/>
      <c r="O14" s="158"/>
      <c r="P14" s="158"/>
      <c r="Q14" s="159"/>
      <c r="R14" s="159"/>
      <c r="S14" s="157"/>
      <c r="T14" s="159"/>
      <c r="U14" s="159"/>
      <c r="V14" s="157"/>
    </row>
    <row r="15" spans="2:22" x14ac:dyDescent="0.2">
      <c r="N15" s="158"/>
      <c r="O15" s="158"/>
      <c r="P15" s="158"/>
      <c r="Q15" s="159"/>
      <c r="R15" s="159"/>
      <c r="S15" s="157"/>
      <c r="T15" s="159"/>
      <c r="U15" s="159"/>
      <c r="V15" s="157"/>
    </row>
    <row r="16" spans="2:22" x14ac:dyDescent="0.2">
      <c r="I16" s="129"/>
      <c r="J16" s="128"/>
    </row>
    <row r="17" spans="6:10" x14ac:dyDescent="0.2">
      <c r="I17" s="129"/>
      <c r="J17" s="130"/>
    </row>
    <row r="18" spans="6:10" x14ac:dyDescent="0.2">
      <c r="I18" s="130"/>
      <c r="J18" s="149"/>
    </row>
    <row r="19" spans="6:10" ht="12" customHeight="1" x14ac:dyDescent="0.2">
      <c r="I19" s="130"/>
      <c r="J19" s="149"/>
    </row>
    <row r="20" spans="6:10" x14ac:dyDescent="0.2">
      <c r="G20" s="127"/>
      <c r="I20" s="130"/>
      <c r="J20" s="149"/>
    </row>
    <row r="21" spans="6:10" x14ac:dyDescent="0.2">
      <c r="G21" s="127"/>
      <c r="I21" s="130"/>
      <c r="J21" s="149"/>
    </row>
    <row r="22" spans="6:10" ht="16.5" customHeight="1" x14ac:dyDescent="0.2">
      <c r="G22" s="127"/>
      <c r="I22" s="130"/>
      <c r="J22" s="149"/>
    </row>
    <row r="23" spans="6:10" ht="15" customHeight="1" x14ac:dyDescent="0.2">
      <c r="F23" s="127"/>
      <c r="G23" s="127"/>
      <c r="I23" s="130"/>
      <c r="J23" s="149"/>
    </row>
    <row r="24" spans="6:10" ht="15" customHeight="1" x14ac:dyDescent="0.2">
      <c r="G24" s="127"/>
    </row>
    <row r="25" spans="6:10" ht="18.75" customHeight="1" x14ac:dyDescent="0.2">
      <c r="G25" s="127"/>
    </row>
    <row r="26" spans="6:10" ht="15.75" customHeight="1" x14ac:dyDescent="0.2">
      <c r="G26" s="127"/>
    </row>
    <row r="27" spans="6:10" ht="18" customHeight="1" x14ac:dyDescent="0.2"/>
    <row r="28" spans="6:10" ht="15" customHeight="1" x14ac:dyDescent="0.2"/>
    <row r="33" ht="63" customHeight="1" x14ac:dyDescent="0.2"/>
    <row r="36" ht="15" customHeight="1" x14ac:dyDescent="0.2"/>
    <row r="37" ht="18.75" customHeight="1" x14ac:dyDescent="0.2"/>
    <row r="38" ht="15.75" customHeight="1" x14ac:dyDescent="0.2"/>
    <row r="39" ht="14.25" customHeight="1" x14ac:dyDescent="0.2"/>
    <row r="40" ht="12" customHeight="1" x14ac:dyDescent="0.2"/>
  </sheetData>
  <mergeCells count="1">
    <mergeCell ref="C2:C5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usz20">
    <tabColor rgb="FFFF9900"/>
    <pageSetUpPr fitToPage="1"/>
  </sheetPr>
  <dimension ref="A1:M33"/>
  <sheetViews>
    <sheetView zoomScale="90" zoomScaleNormal="90" workbookViewId="0"/>
  </sheetViews>
  <sheetFormatPr defaultRowHeight="15" x14ac:dyDescent="0.25"/>
  <cols>
    <col min="1" max="1" width="5.140625" style="15" customWidth="1"/>
    <col min="2" max="2" width="14.42578125" style="15" customWidth="1"/>
    <col min="3" max="3" width="12.7109375" style="15" customWidth="1"/>
    <col min="4" max="4" width="12.5703125" style="15" customWidth="1"/>
    <col min="5" max="5" width="12.7109375" style="15" customWidth="1"/>
    <col min="6" max="6" width="13.85546875" style="15" customWidth="1"/>
    <col min="7" max="7" width="13.5703125" style="15" customWidth="1"/>
    <col min="8" max="9" width="13.7109375" style="15" customWidth="1"/>
    <col min="10" max="10" width="11.5703125" style="10" customWidth="1"/>
    <col min="11" max="11" width="6.85546875" style="10" customWidth="1"/>
    <col min="12" max="12" width="13.5703125" style="10" customWidth="1"/>
    <col min="13" max="13" width="11.5703125" style="15" customWidth="1"/>
    <col min="14" max="16384" width="9.140625" style="15"/>
  </cols>
  <sheetData>
    <row r="1" spans="1:13" x14ac:dyDescent="0.25">
      <c r="A1" s="15" t="s">
        <v>155</v>
      </c>
    </row>
    <row r="2" spans="1:13" x14ac:dyDescent="0.25">
      <c r="A2" s="15" t="s">
        <v>326</v>
      </c>
    </row>
    <row r="3" spans="1:13" x14ac:dyDescent="0.25">
      <c r="A3" s="348">
        <f>SUM(P__!K26)</f>
        <v>2021</v>
      </c>
      <c r="B3" s="368" t="s">
        <v>101</v>
      </c>
      <c r="C3" s="348" t="s">
        <v>136</v>
      </c>
      <c r="D3" s="348" t="s">
        <v>135</v>
      </c>
      <c r="E3" s="348" t="s">
        <v>149</v>
      </c>
      <c r="F3" s="348" t="s">
        <v>139</v>
      </c>
      <c r="G3" s="348" t="s">
        <v>150</v>
      </c>
      <c r="H3" s="348" t="s">
        <v>148</v>
      </c>
      <c r="I3" s="348" t="s">
        <v>299</v>
      </c>
      <c r="J3" s="16"/>
      <c r="K3" s="16" t="s">
        <v>71</v>
      </c>
      <c r="L3" s="16" t="s">
        <v>151</v>
      </c>
      <c r="M3" s="43" t="s">
        <v>147</v>
      </c>
    </row>
    <row r="4" spans="1:13" x14ac:dyDescent="0.25">
      <c r="A4" s="16">
        <v>1</v>
      </c>
      <c r="B4" s="7" t="s">
        <v>73</v>
      </c>
      <c r="C4" s="6">
        <f>SUM(P__!L27)</f>
        <v>13681.669927536232</v>
      </c>
      <c r="D4" s="6">
        <f>SUM(P__!M27)</f>
        <v>11344.465</v>
      </c>
      <c r="E4" s="369">
        <f>SUM(P__!N27)</f>
        <v>6614.1498000000001</v>
      </c>
      <c r="F4" s="6">
        <f>SUMIF(P__!O27,"&gt;1",(P__!O27))</f>
        <v>19526.167142857146</v>
      </c>
      <c r="G4" s="6">
        <f>SUMIF(P__!P27,"&gt;1",(P__!P27))</f>
        <v>29999.74672727273</v>
      </c>
      <c r="H4" s="6">
        <f>SUMIF(P__!Q27,"&gt;1",(P__!Q27))</f>
        <v>107142.85714285714</v>
      </c>
      <c r="I4" s="6">
        <f>SUMIF(P__!R27,"&gt;1",(P__!R27))</f>
        <v>18338.249705882354</v>
      </c>
      <c r="J4" s="7">
        <v>1801</v>
      </c>
      <c r="K4" s="19">
        <f>RANK(E4,$E$4:$E$25,1)+COUNTIF($E$4:E4,E4)-1</f>
        <v>5</v>
      </c>
      <c r="L4" s="7" t="str">
        <f>INDEX(B4:I25,MATCH(1,K4:K25,0),1)</f>
        <v>Kolbuszowa</v>
      </c>
      <c r="M4" s="6">
        <f>INDEX(B4:I25,MATCH(1,K4:K25,0),4)</f>
        <v>5263.067345132743</v>
      </c>
    </row>
    <row r="5" spans="1:13" x14ac:dyDescent="0.25">
      <c r="A5" s="16">
        <v>2</v>
      </c>
      <c r="B5" s="7" t="s">
        <v>74</v>
      </c>
      <c r="C5" s="6">
        <f>SUM(P__!L28)</f>
        <v>15714.401250000001</v>
      </c>
      <c r="D5" s="6">
        <f>SUM(P__!M28)</f>
        <v>8595.8549999999996</v>
      </c>
      <c r="E5" s="369">
        <f>SUM(P__!N28)</f>
        <v>6066.8047530864196</v>
      </c>
      <c r="F5" s="6">
        <f>SUMIF(P__!O28,"&gt;1",(P__!O28))</f>
        <v>19397.623559322034</v>
      </c>
      <c r="G5" s="6">
        <f>SUM(P__!P28)</f>
        <v>31437.952110091741</v>
      </c>
      <c r="H5" s="6">
        <f>SUM(P__!Q28)</f>
        <v>37726.620416666665</v>
      </c>
      <c r="I5" s="6">
        <f>SUM(P__!R28)</f>
        <v>17228.571428571428</v>
      </c>
      <c r="J5" s="7">
        <v>1802</v>
      </c>
      <c r="K5" s="19">
        <f>RANK(E5,$E$4:$E$25,1)+COUNTIF($E$4:E5,E5)-1</f>
        <v>3</v>
      </c>
      <c r="L5" s="18" t="str">
        <f>INDEX(B4:I25,MATCH(2,K4:K25,0),1)</f>
        <v>Lesko</v>
      </c>
      <c r="M5" s="6">
        <f>INDEX(B4:I25,MATCH(2,K4:K25,0),4)</f>
        <v>5895.8222857142855</v>
      </c>
    </row>
    <row r="6" spans="1:13" x14ac:dyDescent="0.25">
      <c r="A6" s="16">
        <v>3</v>
      </c>
      <c r="B6" s="7" t="s">
        <v>75</v>
      </c>
      <c r="C6" s="6">
        <f>SUM(P__!L29)</f>
        <v>14942.120753768842</v>
      </c>
      <c r="D6" s="6">
        <f>SUM(P__!M29)</f>
        <v>10251.5</v>
      </c>
      <c r="E6" s="369">
        <f>SUM(P__!N29)</f>
        <v>7773.3001265822777</v>
      </c>
      <c r="F6" s="6">
        <f>SUMIF(P__!O29,"&gt;1",(P__!O29))</f>
        <v>17579.073333333334</v>
      </c>
      <c r="G6" s="6">
        <f>SUM(P__!P29)</f>
        <v>24094.089739130432</v>
      </c>
      <c r="H6" s="6">
        <f>SUM(P__!Q29)</f>
        <v>40966.443478260873</v>
      </c>
      <c r="I6" s="6">
        <f>SUM(P__!R29)</f>
        <v>11734.375</v>
      </c>
      <c r="J6" s="7">
        <v>1803</v>
      </c>
      <c r="K6" s="19">
        <f>RANK(E6,$E$4:$E$25,1)+COUNTIF($E$4:E6,E6)-1</f>
        <v>9</v>
      </c>
      <c r="L6" s="18" t="str">
        <f>INDEX(B4:I25,MATCH(3,K4:K25,0),1)</f>
        <v>Brzozów</v>
      </c>
      <c r="M6" s="6">
        <f>INDEX(B4:I25,MATCH(3,K4:K25,0),4)</f>
        <v>6066.8047530864196</v>
      </c>
    </row>
    <row r="7" spans="1:13" x14ac:dyDescent="0.25">
      <c r="A7" s="16">
        <v>4</v>
      </c>
      <c r="B7" s="7" t="s">
        <v>76</v>
      </c>
      <c r="C7" s="6">
        <f>SUM(P__!L30)</f>
        <v>13379.878502994012</v>
      </c>
      <c r="D7" s="6">
        <f>SUM(P__!M30)</f>
        <v>10438.48</v>
      </c>
      <c r="E7" s="369">
        <f>SUM(P__!N30)</f>
        <v>9845.926007604563</v>
      </c>
      <c r="F7" s="6">
        <f>SUMIF(P__!O30,"&gt;1",(P__!O30))</f>
        <v>18301.619774436091</v>
      </c>
      <c r="G7" s="6">
        <f>SUM(P__!P30)</f>
        <v>31538.182136752137</v>
      </c>
      <c r="H7" s="6">
        <f>SUM(P__!Q30)</f>
        <v>45659.340540540536</v>
      </c>
      <c r="I7" s="6">
        <f>SUM(P__!R30)</f>
        <v>13770.712608695652</v>
      </c>
      <c r="J7" s="7">
        <v>1804</v>
      </c>
      <c r="K7" s="19">
        <f>RANK(E7,$E$4:$E$25,1)+COUNTIF($E$4:E7,E7)-1</f>
        <v>19</v>
      </c>
      <c r="L7" s="18" t="str">
        <f>INDEX(B4:I25,MATCH(4,K4:K25,0),1)</f>
        <v>Krosno</v>
      </c>
      <c r="M7" s="6">
        <f>INDEX(B4:I25,MATCH(4,K4:K25,0),4)</f>
        <v>6423.7599999999993</v>
      </c>
    </row>
    <row r="8" spans="1:13" x14ac:dyDescent="0.25">
      <c r="A8" s="16">
        <v>5</v>
      </c>
      <c r="B8" s="7" t="s">
        <v>77</v>
      </c>
      <c r="C8" s="6">
        <f>SUM(P__!L31)</f>
        <v>12778.869616613418</v>
      </c>
      <c r="D8" s="6">
        <f>SUM(P__!M31)</f>
        <v>11194.186874999999</v>
      </c>
      <c r="E8" s="369">
        <f>SUM(P__!N31)</f>
        <v>9807.594794520548</v>
      </c>
      <c r="F8" s="6">
        <f>SUMIF(P__!O31,"&gt;1",(P__!O31))</f>
        <v>14134.019583333335</v>
      </c>
      <c r="G8" s="6">
        <f>SUM(P__!P31)</f>
        <v>25059.573243243241</v>
      </c>
      <c r="H8" s="6">
        <f>SUM(P__!Q31)</f>
        <v>82121.770769230774</v>
      </c>
      <c r="I8" s="6">
        <f>SUM(P__!R31)</f>
        <v>16382.142857142857</v>
      </c>
      <c r="J8" s="7">
        <v>1805</v>
      </c>
      <c r="K8" s="19">
        <f>RANK(E8,$E$4:$E$25,1)+COUNTIF($E$4:E8,E8)-1</f>
        <v>18</v>
      </c>
      <c r="L8" s="18" t="str">
        <f>INDEX(B4:I25,MATCH(5,K4:K25,0),1)</f>
        <v>Ustrzyki Dolne</v>
      </c>
      <c r="M8" s="6">
        <f>INDEX(B4:I25,MATCH(5,K4:K25,0),4)</f>
        <v>6614.1498000000001</v>
      </c>
    </row>
    <row r="9" spans="1:13" x14ac:dyDescent="0.25">
      <c r="A9" s="16">
        <v>6</v>
      </c>
      <c r="B9" s="7" t="s">
        <v>78</v>
      </c>
      <c r="C9" s="6">
        <f>SUM(P__!L32)</f>
        <v>11641.389814814815</v>
      </c>
      <c r="D9" s="6">
        <f>SUM(P__!M32)</f>
        <v>9158.8448275862065</v>
      </c>
      <c r="E9" s="369">
        <f>SUM(P__!N32)</f>
        <v>5263.067345132743</v>
      </c>
      <c r="F9" s="6">
        <f>SUMIF(P__!O32,"&gt;1",(P__!O32))</f>
        <v>18504.820666666667</v>
      </c>
      <c r="G9" s="6">
        <f>SUM(P__!P32)</f>
        <v>29455.622950819674</v>
      </c>
      <c r="H9" s="6">
        <f>SUM(P__!Q32)</f>
        <v>50004.321951219514</v>
      </c>
      <c r="I9" s="6">
        <f>SUM(P__!R32)</f>
        <v>15000</v>
      </c>
      <c r="J9" s="7">
        <v>1806</v>
      </c>
      <c r="K9" s="19">
        <f>RANK(E9,$E$4:$E$25,1)+COUNTIF($E$4:E9,E9)-1</f>
        <v>1</v>
      </c>
      <c r="L9" s="18" t="str">
        <f>INDEX(B4:I25,MATCH(6,K4:K25,0),1)</f>
        <v>Sanok</v>
      </c>
      <c r="M9" s="6">
        <f>INDEX(B4:I25,MATCH(6,K4:K25,0),4)</f>
        <v>7298.9246111111106</v>
      </c>
    </row>
    <row r="10" spans="1:13" x14ac:dyDescent="0.25">
      <c r="A10" s="218">
        <v>7</v>
      </c>
      <c r="B10" s="219" t="s">
        <v>79</v>
      </c>
      <c r="C10" s="215">
        <f>SUM(P__!L33)</f>
        <v>12553.818190954773</v>
      </c>
      <c r="D10" s="215">
        <f>SUM(P__!M33)</f>
        <v>8620.3804166666669</v>
      </c>
      <c r="E10" s="370">
        <f>SUM(P__!N33)</f>
        <v>6423.7599999999993</v>
      </c>
      <c r="F10" s="215">
        <f>SUMIF(P__!O33,"&gt;1",(P__!O33))</f>
        <v>7991.192222222222</v>
      </c>
      <c r="G10" s="215">
        <f>SUM(P__!P33)</f>
        <v>23694.158785046729</v>
      </c>
      <c r="H10" s="215">
        <f>SUM(P__!Q33)</f>
        <v>54219.033389830511</v>
      </c>
      <c r="I10" s="215">
        <f>SUM(P__!R33)</f>
        <v>8435.8974358974356</v>
      </c>
      <c r="J10" s="219" t="s">
        <v>143</v>
      </c>
      <c r="K10" s="19">
        <f>RANK(E10,$E$4:$E$25,1)+COUNTIF($E$4:E10,E10)-1</f>
        <v>4</v>
      </c>
      <c r="L10" s="18" t="str">
        <f>INDEX(B4:I25,MATCH(7,K4:K25,0),1)</f>
        <v>Mielec</v>
      </c>
      <c r="M10" s="6">
        <f>INDEX(B4:I25,MATCH(7,K4:K25,0),4)</f>
        <v>7577.0269194312796</v>
      </c>
    </row>
    <row r="11" spans="1:13" x14ac:dyDescent="0.25">
      <c r="A11" s="16">
        <v>8</v>
      </c>
      <c r="B11" s="7" t="s">
        <v>80</v>
      </c>
      <c r="C11" s="6">
        <f>SUM(P__!L35)</f>
        <v>12980.238530701754</v>
      </c>
      <c r="D11" s="6">
        <f>SUM(P__!M35)</f>
        <v>11343.624054054055</v>
      </c>
      <c r="E11" s="369">
        <f>SUM(P__!N35)</f>
        <v>9549.6243902439019</v>
      </c>
      <c r="F11" s="6">
        <f>SUMIF(P__!O35,"&gt;1",(P__!O35))</f>
        <v>13031.564930555556</v>
      </c>
      <c r="G11" s="6">
        <f>SUM(P__!P35)</f>
        <v>28104.513513513513</v>
      </c>
      <c r="H11" s="6">
        <f>SUM(P__!Q35)</f>
        <v>110291.49571428572</v>
      </c>
      <c r="I11" s="6">
        <f>SUM(P__!R35)</f>
        <v>10323.529411764706</v>
      </c>
      <c r="J11" s="7">
        <v>1808</v>
      </c>
      <c r="K11" s="19">
        <f>RANK(E11,$E$4:$E$25,1)+COUNTIF($E$4:E11,E11)-1</f>
        <v>15</v>
      </c>
      <c r="L11" s="18" t="str">
        <f>INDEX(B4:I25,MATCH(8,K4:K25,0),1)</f>
        <v>Strzyżów</v>
      </c>
      <c r="M11" s="6">
        <f>INDEX(B4:I25,MATCH(8,K4:K25,0),4)</f>
        <v>7578.7800000000007</v>
      </c>
    </row>
    <row r="12" spans="1:13" x14ac:dyDescent="0.25">
      <c r="A12" s="16">
        <v>9</v>
      </c>
      <c r="B12" s="7" t="s">
        <v>81</v>
      </c>
      <c r="C12" s="6">
        <f>SUM(P__!L36)</f>
        <v>12888.656102941177</v>
      </c>
      <c r="D12" s="6">
        <f>SUM(P__!M36)</f>
        <v>10973.99</v>
      </c>
      <c r="E12" s="369">
        <f>SUM(P__!N36)</f>
        <v>9369.1174193548377</v>
      </c>
      <c r="F12" s="6">
        <f>SUMIF(P__!O36,"&gt;1",(P__!O36))</f>
        <v>16346.299629629631</v>
      </c>
      <c r="G12" s="6">
        <f>SUM(P__!P36)</f>
        <v>27988.132931034481</v>
      </c>
      <c r="H12" s="216">
        <f>SUMIF(P__!Q36,"&gt;1",(P__!Q36))</f>
        <v>0</v>
      </c>
      <c r="I12" s="6">
        <f>SUMIF(P__!R36,"&gt;1",(P__!R36))</f>
        <v>9749.8708139534883</v>
      </c>
      <c r="J12" s="7">
        <v>1809</v>
      </c>
      <c r="K12" s="19">
        <f>RANK(E12,$E$4:$E$25,1)+COUNTIF($E$4:E12,E12)-1</f>
        <v>14</v>
      </c>
      <c r="L12" s="18" t="str">
        <f>INDEX(B4:I25,MATCH(9,K4:K25,0),1)</f>
        <v>Dębica</v>
      </c>
      <c r="M12" s="6">
        <f>INDEX(B4:I25,MATCH(9,K4:K25,0),4)</f>
        <v>7773.3001265822777</v>
      </c>
    </row>
    <row r="13" spans="1:13" x14ac:dyDescent="0.25">
      <c r="A13" s="16">
        <v>10</v>
      </c>
      <c r="B13" s="7" t="s">
        <v>82</v>
      </c>
      <c r="C13" s="6">
        <f>SUM(P__!L37)</f>
        <v>15085.837870036099</v>
      </c>
      <c r="D13" s="6">
        <f>SUM(P__!M37)</f>
        <v>12609.18</v>
      </c>
      <c r="E13" s="369">
        <f>SUM(P__!N37)</f>
        <v>8129.4257516339867</v>
      </c>
      <c r="F13" s="6">
        <f>SUMIF(P__!O37,"&gt;1",(P__!O37))</f>
        <v>17523.310650406504</v>
      </c>
      <c r="G13" s="6">
        <f>SUM(P__!P37)</f>
        <v>31102.884615384617</v>
      </c>
      <c r="H13" s="6">
        <f>SUM(P__!Q37)</f>
        <v>37687.5</v>
      </c>
      <c r="I13" s="6">
        <f>SUM(P__!R37)</f>
        <v>8489.3617021276605</v>
      </c>
      <c r="J13" s="7">
        <v>1810</v>
      </c>
      <c r="K13" s="19">
        <f>RANK(E13,$E$4:$E$25,1)+COUNTIF($E$4:E13,E13)-1</f>
        <v>11</v>
      </c>
      <c r="L13" s="154" t="str">
        <f>INDEX(B4:I25,MATCH(10,K4:K25,0),1)</f>
        <v>Nisko</v>
      </c>
      <c r="M13" s="22">
        <f>INDEX(B4:I25,MATCH(10,K4:K25,0),4)</f>
        <v>8099.6970550161814</v>
      </c>
    </row>
    <row r="14" spans="1:13" x14ac:dyDescent="0.25">
      <c r="A14" s="16">
        <v>11</v>
      </c>
      <c r="B14" s="7" t="s">
        <v>83</v>
      </c>
      <c r="C14" s="6">
        <f>SUM(P__!L38)</f>
        <v>8961.8028623188402</v>
      </c>
      <c r="D14" s="6">
        <f>SUM(P__!M38)</f>
        <v>4585.1477777777782</v>
      </c>
      <c r="E14" s="369">
        <f>SUM(P__!N38)</f>
        <v>7577.0269194312796</v>
      </c>
      <c r="F14" s="6">
        <f>SUMIF(P__!O38,"&gt;1",(P__!O38))</f>
        <v>11377.817031250001</v>
      </c>
      <c r="G14" s="6">
        <f>SUM(P__!P38)</f>
        <v>20844.939906542055</v>
      </c>
      <c r="H14" s="6">
        <f>SUM(P__!Q38)</f>
        <v>38286.187350427346</v>
      </c>
      <c r="I14" s="6">
        <f>SUM(P__!R38)</f>
        <v>8000</v>
      </c>
      <c r="J14" s="7">
        <v>1811</v>
      </c>
      <c r="K14" s="153">
        <f>RANK(E14,$E$4:$E$25,1)+COUNTIF($E$4:E14,E14)-1</f>
        <v>7</v>
      </c>
      <c r="L14" s="18" t="str">
        <f>INDEX(B4:I25,MATCH(11,K4:K25,0),1)</f>
        <v>Łańcut</v>
      </c>
      <c r="M14" s="6">
        <f>INDEX(B4:I25,MATCH(11,K4:K25,0),4)</f>
        <v>8129.4257516339867</v>
      </c>
    </row>
    <row r="15" spans="1:13" x14ac:dyDescent="0.25">
      <c r="A15" s="16">
        <v>12</v>
      </c>
      <c r="B15" s="7" t="s">
        <v>84</v>
      </c>
      <c r="C15" s="6">
        <f>SUM(P__!L39)</f>
        <v>14570.84357827476</v>
      </c>
      <c r="D15" s="6">
        <f>SUM(P__!M39)</f>
        <v>15438.321538461538</v>
      </c>
      <c r="E15" s="369">
        <f>SUM(P__!N39)</f>
        <v>8099.6970550161814</v>
      </c>
      <c r="F15" s="6">
        <f>SUMIF(P__!O39,"&gt;1",(P__!O39))</f>
        <v>21828.017884615383</v>
      </c>
      <c r="G15" s="6">
        <f>SUM(P__!P39)</f>
        <v>25669.014084507042</v>
      </c>
      <c r="H15" s="6">
        <f>SUM(P__!Q39)</f>
        <v>65243.697428571431</v>
      </c>
      <c r="I15" s="6">
        <f>SUM(P__!R39)</f>
        <v>14850</v>
      </c>
      <c r="J15" s="7">
        <v>1812</v>
      </c>
      <c r="K15" s="19">
        <f>RANK(E15,$E$4:$E$25,1)+COUNTIF($E$4:E15,E15)-1</f>
        <v>10</v>
      </c>
      <c r="L15" s="220" t="str">
        <f>INDEX(B4:I25,MATCH(12,K4:K25,0),1)</f>
        <v>Podkarpacie</v>
      </c>
      <c r="M15" s="216">
        <f>INDEX(B4:I25,MATCH(12,K4:K25,0),4)</f>
        <v>8721.5238630299427</v>
      </c>
    </row>
    <row r="16" spans="1:13" x14ac:dyDescent="0.25">
      <c r="A16" s="16">
        <v>13</v>
      </c>
      <c r="B16" s="7" t="s">
        <v>85</v>
      </c>
      <c r="C16" s="6">
        <f>SUM(P__!L40)</f>
        <v>15573.837295454547</v>
      </c>
      <c r="D16" s="6">
        <f>SUM(P__!M40)</f>
        <v>8368.0500000000011</v>
      </c>
      <c r="E16" s="369">
        <f>SUM(P__!N40)</f>
        <v>9730.7848496240604</v>
      </c>
      <c r="F16" s="6">
        <f>SUMIF(P__!O40,"&gt;1",(P__!O40))</f>
        <v>22787.972302158272</v>
      </c>
      <c r="G16" s="6">
        <f>SUM(P__!P40)</f>
        <v>33022.659577464787</v>
      </c>
      <c r="H16" s="6">
        <f>SUM(P__!Q40)</f>
        <v>41252.479767441859</v>
      </c>
      <c r="I16" s="6">
        <f>SUM(P__!R40)</f>
        <v>9086.95652173913</v>
      </c>
      <c r="J16" s="7">
        <v>1814</v>
      </c>
      <c r="K16" s="20">
        <f>RANK(E16,$E$4:$E$25,1)+COUNTIF($E$4:E16,E16)-1</f>
        <v>17</v>
      </c>
      <c r="L16" s="21" t="str">
        <f>INDEX(B4:I25,MATCH(13,K4:K25,0),1)</f>
        <v>Tarnobrzeg</v>
      </c>
      <c r="M16" s="6">
        <f>INDEX(B4:I25,MATCH(13,K4:K25,0),4)</f>
        <v>8848.4821249999986</v>
      </c>
    </row>
    <row r="17" spans="1:13" x14ac:dyDescent="0.25">
      <c r="A17" s="16">
        <v>14</v>
      </c>
      <c r="B17" s="7" t="s">
        <v>86</v>
      </c>
      <c r="C17" s="6">
        <f>SUM(P__!L41)</f>
        <v>12915.99174796748</v>
      </c>
      <c r="D17" s="6">
        <f>SUM(P__!M41)</f>
        <v>8160.9958823529405</v>
      </c>
      <c r="E17" s="369">
        <f>SUM(P__!N41)</f>
        <v>10445.929351851853</v>
      </c>
      <c r="F17" s="6">
        <f>SUMIF(P__!O41,"&gt;1",(P__!O41))</f>
        <v>20292.108787878788</v>
      </c>
      <c r="G17" s="6">
        <f>SUM(P__!P41)</f>
        <v>29123.921538461538</v>
      </c>
      <c r="H17" s="6">
        <f>SUM(P__!Q41)</f>
        <v>40850.424109589039</v>
      </c>
      <c r="I17" s="6">
        <f>SUM(P__!R41)</f>
        <v>5888.8888888888887</v>
      </c>
      <c r="J17" s="7">
        <v>1815</v>
      </c>
      <c r="K17" s="20">
        <f>RANK(E17,$E$4:$E$25,1)+COUNTIF($E$4:E17,E17)-1</f>
        <v>21</v>
      </c>
      <c r="L17" s="21" t="str">
        <f>INDEX(B4:I25,MATCH(14,K4:K25,0),1)</f>
        <v>Lubaczów</v>
      </c>
      <c r="M17" s="6">
        <f>INDEX(B4:I25,MATCH(14,K4:K25,0),4)</f>
        <v>9369.1174193548377</v>
      </c>
    </row>
    <row r="18" spans="1:13" x14ac:dyDescent="0.25">
      <c r="A18" s="218">
        <v>15</v>
      </c>
      <c r="B18" s="219" t="s">
        <v>87</v>
      </c>
      <c r="C18" s="215">
        <f>SUM(P__!L43)</f>
        <v>11904.609334389857</v>
      </c>
      <c r="D18" s="215">
        <f>SUM(P__!M43)</f>
        <v>2739.4103448275864</v>
      </c>
      <c r="E18" s="370">
        <f>SUM(P__!N43)</f>
        <v>10371.263699633701</v>
      </c>
      <c r="F18" s="215">
        <f>SUMIF(P__!O43,"&gt;1",(P__!O43))</f>
        <v>21381.615312500002</v>
      </c>
      <c r="G18" s="215">
        <f>SUM(P__!P43)</f>
        <v>49685.009080459771</v>
      </c>
      <c r="H18" s="215">
        <f>SUM(P__!Q43)</f>
        <v>74903.813303571427</v>
      </c>
      <c r="I18" s="215">
        <f>SUM(P__!R43)</f>
        <v>11535.76390625</v>
      </c>
      <c r="J18" s="219" t="s">
        <v>145</v>
      </c>
      <c r="K18" s="16">
        <f>RANK(E18,$E$4:$E$25,1)+COUNTIF($E$4:E18,E18)-1</f>
        <v>20</v>
      </c>
      <c r="L18" s="7" t="str">
        <f>INDEX(B4:I25,MATCH(15,K4:K25,0),1)</f>
        <v>Leżajsk</v>
      </c>
      <c r="M18" s="6">
        <f>INDEX(B4:I25,MATCH(15,K4:K25,0),4)</f>
        <v>9549.6243902439019</v>
      </c>
    </row>
    <row r="19" spans="1:13" x14ac:dyDescent="0.25">
      <c r="A19" s="16">
        <v>16</v>
      </c>
      <c r="B19" s="7" t="s">
        <v>88</v>
      </c>
      <c r="C19" s="6">
        <f>SUM(P__!L44)</f>
        <v>12328.4198125</v>
      </c>
      <c r="D19" s="6">
        <f>SUM(P__!M44)</f>
        <v>8388.8655223880596</v>
      </c>
      <c r="E19" s="369">
        <f>SUM(P__!N44)</f>
        <v>7298.9246111111106</v>
      </c>
      <c r="F19" s="6">
        <f>SUMIF(P__!O44,"&gt;1",(P__!O44))</f>
        <v>10000.877894736841</v>
      </c>
      <c r="G19" s="6">
        <f>SUM(P__!P44)</f>
        <v>25636.279687499999</v>
      </c>
      <c r="H19" s="6">
        <f>SUM(P__!Q44)</f>
        <v>47949.561836734691</v>
      </c>
      <c r="I19" s="6">
        <f>SUM(P__!R44)</f>
        <v>9954.5555555555547</v>
      </c>
      <c r="J19" s="7">
        <v>1817</v>
      </c>
      <c r="K19" s="16">
        <f>RANK(E19,$E$4:$E$25,1)+COUNTIF($E$4:E19,E19)-1</f>
        <v>6</v>
      </c>
      <c r="L19" s="7" t="str">
        <f>INDEX(B4:I25,MATCH(16,K4:K25,0),1)</f>
        <v>Stalowa Wola</v>
      </c>
      <c r="M19" s="6">
        <f>INDEX(B4:I25,MATCH(16,K4:K25,0),4)</f>
        <v>9714.0203846153836</v>
      </c>
    </row>
    <row r="20" spans="1:13" x14ac:dyDescent="0.25">
      <c r="A20" s="16">
        <v>17</v>
      </c>
      <c r="B20" s="7" t="s">
        <v>89</v>
      </c>
      <c r="C20" s="6">
        <f>SUM(P__!L45)</f>
        <v>13350.010120967741</v>
      </c>
      <c r="D20" s="6">
        <f>SUM(P__!M45)</f>
        <v>3372.0714150943395</v>
      </c>
      <c r="E20" s="369">
        <f>SUM(P__!N45)</f>
        <v>9714.0203846153836</v>
      </c>
      <c r="F20" s="6">
        <f>SUMIF(P__!O45,"&gt;1",(P__!O45))</f>
        <v>17629.1836</v>
      </c>
      <c r="G20" s="6">
        <f>SUM(P__!P45)</f>
        <v>22324.325232558138</v>
      </c>
      <c r="H20" s="6">
        <f>SUM(P__!Q45)</f>
        <v>58375.379230769235</v>
      </c>
      <c r="I20" s="6">
        <f>SUM(P__!R45)</f>
        <v>8169.3208823529403</v>
      </c>
      <c r="J20" s="7">
        <v>1818</v>
      </c>
      <c r="K20" s="16">
        <f>RANK(E20,$E$4:$E$25,1)+COUNTIF($E$4:E20,E20)-1</f>
        <v>16</v>
      </c>
      <c r="L20" s="7" t="str">
        <f>INDEX(B4:I25,MATCH(17,K4:K25,0),1)</f>
        <v>Przeworsk</v>
      </c>
      <c r="M20" s="6">
        <f>INDEX(B4:I25,MATCH(17,K4:K25,0),4)</f>
        <v>9730.7848496240604</v>
      </c>
    </row>
    <row r="21" spans="1:13" x14ac:dyDescent="0.25">
      <c r="A21" s="16">
        <v>18</v>
      </c>
      <c r="B21" s="7" t="s">
        <v>90</v>
      </c>
      <c r="C21" s="6">
        <f>SUM(P__!L46)</f>
        <v>13442.706183953034</v>
      </c>
      <c r="D21" s="6">
        <f>SUM(P__!M46)</f>
        <v>10985.015333333335</v>
      </c>
      <c r="E21" s="369">
        <f>SUM(P__!N46)</f>
        <v>7578.7800000000007</v>
      </c>
      <c r="F21" s="6">
        <f>SUMIF(P__!O46,"&gt;1",(P__!O46))</f>
        <v>16393.417863247862</v>
      </c>
      <c r="G21" s="6">
        <f>SUM(P__!P46)</f>
        <v>37943.405529411764</v>
      </c>
      <c r="H21" s="6">
        <f>SUM(P__!Q46)</f>
        <v>58952.05169811321</v>
      </c>
      <c r="I21" s="6">
        <f>SUM(P__!R46)</f>
        <v>10722.222222222223</v>
      </c>
      <c r="J21" s="7">
        <v>1819</v>
      </c>
      <c r="K21" s="16">
        <f>RANK(E21,$E$4:$E$25,1)+COUNTIF($E$4:E21,E21)-1</f>
        <v>8</v>
      </c>
      <c r="L21" s="7" t="str">
        <f>INDEX(B4:I25,MATCH(18,K4:K25,0),1)</f>
        <v>Jasło</v>
      </c>
      <c r="M21" s="6">
        <f>INDEX(B4:I25,MATCH(18,K4:K25,0),4)</f>
        <v>9807.594794520548</v>
      </c>
    </row>
    <row r="22" spans="1:13" x14ac:dyDescent="0.25">
      <c r="A22" s="218">
        <v>19</v>
      </c>
      <c r="B22" s="219" t="s">
        <v>91</v>
      </c>
      <c r="C22" s="215">
        <f>SUM(P__!L47)</f>
        <v>12141.553074074074</v>
      </c>
      <c r="D22" s="215">
        <f>SUM(P__!M47)</f>
        <v>12682.744615384614</v>
      </c>
      <c r="E22" s="370">
        <f>SUM(P__!N47)</f>
        <v>8848.4821249999986</v>
      </c>
      <c r="F22" s="215">
        <f>SUMIF(P__!O47,"&gt;1",(P__!O47))</f>
        <v>15637.929335793357</v>
      </c>
      <c r="G22" s="215">
        <f>SUM(P__!P47)</f>
        <v>19700.752253521125</v>
      </c>
      <c r="H22" s="215">
        <f>SUM(P__!Q47)</f>
        <v>28929.117631578945</v>
      </c>
      <c r="I22" s="215">
        <f>SUM(P__!R47)</f>
        <v>8913.7588888888895</v>
      </c>
      <c r="J22" s="219" t="s">
        <v>146</v>
      </c>
      <c r="K22" s="16">
        <f>RANK(E22,$E$4:$E$25,1)+COUNTIF($E$4:E22,E22)-1</f>
        <v>13</v>
      </c>
      <c r="L22" s="7" t="str">
        <f>INDEX(B4:I25,MATCH(19,K4:K25,0),1)</f>
        <v>Jarosław</v>
      </c>
      <c r="M22" s="6">
        <f>INDEX(B4:I25,MATCH(19,K4:K25,0),4)</f>
        <v>9845.926007604563</v>
      </c>
    </row>
    <row r="23" spans="1:13" x14ac:dyDescent="0.25">
      <c r="A23" s="16">
        <v>20</v>
      </c>
      <c r="B23" s="7" t="s">
        <v>92</v>
      </c>
      <c r="C23" s="6">
        <f>SUM(P__!L48)</f>
        <v>13395.393404255319</v>
      </c>
      <c r="D23" s="6">
        <f>SUM(P__!M48)</f>
        <v>5553.9644444444448</v>
      </c>
      <c r="E23" s="369">
        <f>SUM(P__!N48)</f>
        <v>5895.8222857142855</v>
      </c>
      <c r="F23" s="6">
        <f>SUMIF(P__!O48,"&gt;1",(P__!O48))</f>
        <v>21436.601666666669</v>
      </c>
      <c r="G23" s="6">
        <f>SUM(P__!P48)</f>
        <v>44073.572068965521</v>
      </c>
      <c r="H23" s="6">
        <f>SUM(P__!Q48)</f>
        <v>127669.182</v>
      </c>
      <c r="I23" s="6">
        <f>SUM(P__!R48)</f>
        <v>14985.714285714286</v>
      </c>
      <c r="J23" s="7">
        <v>1821</v>
      </c>
      <c r="K23" s="16">
        <f>RANK(E23,$E$4:$E$25,1)+COUNTIF($E$4:E23,E23)-1</f>
        <v>2</v>
      </c>
      <c r="L23" s="7" t="str">
        <f>INDEX(B4:I25,MATCH(20,K4:K25,0),1)</f>
        <v>Rzeszów</v>
      </c>
      <c r="M23" s="6">
        <f>INDEX(B4:I25,MATCH(20,K4:K25,0),4)</f>
        <v>10371.263699633701</v>
      </c>
    </row>
    <row r="24" spans="1:13" x14ac:dyDescent="0.25">
      <c r="A24" s="218">
        <v>21</v>
      </c>
      <c r="B24" s="219" t="s">
        <v>97</v>
      </c>
      <c r="C24" s="215">
        <f>SUM(P__!L49)</f>
        <v>13481.052800000001</v>
      </c>
      <c r="D24" s="215">
        <f>SUM(P__!M49)</f>
        <v>8729.228000000001</v>
      </c>
      <c r="E24" s="370">
        <f>SUM(P__!N49)</f>
        <v>11767.826356275304</v>
      </c>
      <c r="F24" s="215">
        <f>SUMIF(P__!O49,"&gt;1",(P__!O49))</f>
        <v>16358.021860465115</v>
      </c>
      <c r="G24" s="215">
        <f>SUM(P__!P49)</f>
        <v>22824.840641025643</v>
      </c>
      <c r="H24" s="215">
        <f>SUM(P__!Q49)</f>
        <v>38564.820476190478</v>
      </c>
      <c r="I24" s="215">
        <f>SUM(P__!R49)</f>
        <v>9857.1428571428569</v>
      </c>
      <c r="J24" s="219" t="s">
        <v>144</v>
      </c>
      <c r="K24" s="16">
        <f>RANK(E24,$E$4:$E$25,1)+COUNTIF($E$4:E24,E24)-1</f>
        <v>22</v>
      </c>
      <c r="L24" s="7" t="str">
        <f>INDEX(B4:I25,MATCH(21,K4:K25,0),1)</f>
        <v>Ropczyce</v>
      </c>
      <c r="M24" s="6">
        <f>INDEX(B4:I25,MATCH(21,K4:K25,0),4)</f>
        <v>10445.929351851853</v>
      </c>
    </row>
    <row r="25" spans="1:13" x14ac:dyDescent="0.25">
      <c r="A25" s="16">
        <v>22</v>
      </c>
      <c r="B25" s="18" t="s">
        <v>100</v>
      </c>
      <c r="C25" s="6">
        <f>SUM(P__!L50)</f>
        <v>13014.846298394708</v>
      </c>
      <c r="D25" s="6">
        <f>SUM(P__!M50)</f>
        <v>7250.3362483994879</v>
      </c>
      <c r="E25" s="369">
        <f>SUM(P__!N50)</f>
        <v>8721.5238630299427</v>
      </c>
      <c r="F25" s="6">
        <f>SUMIF(P__!O50,"&gt;1",(P__!O50))</f>
        <v>17225.128580246917</v>
      </c>
      <c r="G25" s="6">
        <f>SUM(P__!P50)</f>
        <v>29182.742895805139</v>
      </c>
      <c r="H25" s="6">
        <f>SUM(P__!Q50)</f>
        <v>53083.715462184882</v>
      </c>
      <c r="I25" s="6">
        <f>SUM(P__!R50)</f>
        <v>11216.649255202628</v>
      </c>
      <c r="J25" s="7">
        <v>1800</v>
      </c>
      <c r="K25" s="16">
        <f>RANK(E25,$E$4:$E$25,1)+COUNTIF($E$4:E25,E25)-1</f>
        <v>12</v>
      </c>
      <c r="L25" s="7" t="str">
        <f>INDEX(B4:I25,MATCH(22,K4:K25,0),1)</f>
        <v>Przemyśl</v>
      </c>
      <c r="M25" s="6">
        <f>INDEX(B4:I25,MATCH(22,K4:K25,0),4)</f>
        <v>11767.826356275304</v>
      </c>
    </row>
    <row r="26" spans="1:13" x14ac:dyDescent="0.25">
      <c r="B26" s="10"/>
      <c r="C26" s="10">
        <v>1</v>
      </c>
      <c r="D26" s="10">
        <v>2</v>
      </c>
      <c r="E26" s="10">
        <v>3</v>
      </c>
      <c r="F26" s="10">
        <v>4</v>
      </c>
      <c r="G26" s="10">
        <v>5</v>
      </c>
      <c r="H26" s="10">
        <v>6</v>
      </c>
      <c r="I26" s="10">
        <v>7</v>
      </c>
    </row>
    <row r="27" spans="1:13" x14ac:dyDescent="0.25">
      <c r="A27" s="16">
        <v>1</v>
      </c>
      <c r="B27" s="17" t="s">
        <v>1</v>
      </c>
      <c r="C27" s="15" t="s">
        <v>152</v>
      </c>
      <c r="F27" s="10"/>
    </row>
    <row r="28" spans="1:13" x14ac:dyDescent="0.25">
      <c r="A28" s="16">
        <v>2</v>
      </c>
      <c r="B28" s="17" t="s">
        <v>2</v>
      </c>
      <c r="C28" s="15" t="s">
        <v>152</v>
      </c>
    </row>
    <row r="29" spans="1:13" x14ac:dyDescent="0.25">
      <c r="A29" s="348">
        <v>3</v>
      </c>
      <c r="B29" s="368" t="s">
        <v>3</v>
      </c>
      <c r="C29" s="15" t="s">
        <v>152</v>
      </c>
    </row>
    <row r="30" spans="1:13" x14ac:dyDescent="0.25">
      <c r="A30" s="16">
        <v>4</v>
      </c>
      <c r="B30" s="17" t="s">
        <v>4</v>
      </c>
      <c r="C30" s="15" t="s">
        <v>152</v>
      </c>
    </row>
    <row r="31" spans="1:13" x14ac:dyDescent="0.25">
      <c r="A31" s="16">
        <v>5</v>
      </c>
      <c r="B31" s="17" t="s">
        <v>16</v>
      </c>
      <c r="C31" s="15" t="s">
        <v>152</v>
      </c>
    </row>
    <row r="32" spans="1:13" x14ac:dyDescent="0.25">
      <c r="A32" s="16">
        <v>6</v>
      </c>
      <c r="B32" s="17" t="s">
        <v>17</v>
      </c>
      <c r="C32" s="15" t="s">
        <v>152</v>
      </c>
    </row>
    <row r="33" spans="1:3" x14ac:dyDescent="0.25">
      <c r="A33" s="16">
        <v>7</v>
      </c>
      <c r="B33" s="17" t="s">
        <v>11</v>
      </c>
      <c r="C33" s="15" t="s">
        <v>152</v>
      </c>
    </row>
  </sheetData>
  <sortState xmlns:xlrd2="http://schemas.microsoft.com/office/spreadsheetml/2017/richdata2" ref="A4:H25">
    <sortCondition ref="E4:E25"/>
  </sortState>
  <pageMargins left="0.7" right="0.7" top="0.75" bottom="0.75" header="0.3" footer="0.3"/>
  <pageSetup paperSize="9" scale="57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usz21">
    <tabColor rgb="FFFF9900"/>
    <pageSetUpPr fitToPage="1"/>
  </sheetPr>
  <dimension ref="A1:M33"/>
  <sheetViews>
    <sheetView zoomScale="90" zoomScaleNormal="90" workbookViewId="0"/>
  </sheetViews>
  <sheetFormatPr defaultRowHeight="15" x14ac:dyDescent="0.25"/>
  <cols>
    <col min="1" max="1" width="5.140625" style="15" customWidth="1"/>
    <col min="2" max="3" width="13.42578125" style="15" customWidth="1"/>
    <col min="4" max="4" width="12.85546875" style="15" customWidth="1"/>
    <col min="5" max="6" width="13.140625" style="15" customWidth="1"/>
    <col min="7" max="7" width="12.28515625" style="15" customWidth="1"/>
    <col min="8" max="9" width="13" style="15" customWidth="1"/>
    <col min="10" max="10" width="11.5703125" style="10" customWidth="1"/>
    <col min="11" max="11" width="7.28515625" style="10" customWidth="1"/>
    <col min="12" max="12" width="13.85546875" style="10" customWidth="1"/>
    <col min="13" max="13" width="11.5703125" style="15" customWidth="1"/>
    <col min="14" max="16384" width="9.140625" style="15"/>
  </cols>
  <sheetData>
    <row r="1" spans="1:13" x14ac:dyDescent="0.25">
      <c r="A1" s="15" t="s">
        <v>154</v>
      </c>
    </row>
    <row r="2" spans="1:13" x14ac:dyDescent="0.25">
      <c r="A2" s="15" t="s">
        <v>326</v>
      </c>
    </row>
    <row r="3" spans="1:13" x14ac:dyDescent="0.25">
      <c r="A3" s="348">
        <f>SUM(P__!K26)</f>
        <v>2021</v>
      </c>
      <c r="B3" s="368" t="s">
        <v>101</v>
      </c>
      <c r="C3" s="348" t="s">
        <v>136</v>
      </c>
      <c r="D3" s="348" t="s">
        <v>135</v>
      </c>
      <c r="E3" s="348" t="s">
        <v>149</v>
      </c>
      <c r="F3" s="348" t="s">
        <v>139</v>
      </c>
      <c r="G3" s="348" t="s">
        <v>150</v>
      </c>
      <c r="H3" s="348" t="s">
        <v>148</v>
      </c>
      <c r="I3" s="348" t="s">
        <v>299</v>
      </c>
      <c r="J3" s="16"/>
      <c r="K3" s="16" t="s">
        <v>71</v>
      </c>
      <c r="L3" s="16" t="s">
        <v>151</v>
      </c>
      <c r="M3" s="43" t="s">
        <v>147</v>
      </c>
    </row>
    <row r="4" spans="1:13" x14ac:dyDescent="0.25">
      <c r="A4" s="16">
        <v>1</v>
      </c>
      <c r="B4" s="7" t="s">
        <v>73</v>
      </c>
      <c r="C4" s="6">
        <f>SUM(P__!L27)</f>
        <v>13681.669927536232</v>
      </c>
      <c r="D4" s="6">
        <f>SUM(P__!M27)</f>
        <v>11344.465</v>
      </c>
      <c r="E4" s="6">
        <f>SUM(P__!N27)</f>
        <v>6614.1498000000001</v>
      </c>
      <c r="F4" s="369">
        <f>SUMIF(P__!O27,"&gt;1",(P__!O27))</f>
        <v>19526.167142857146</v>
      </c>
      <c r="G4" s="6">
        <f>SUMIF(P__!P27,"&gt;1",(P__!P27))</f>
        <v>29999.74672727273</v>
      </c>
      <c r="H4" s="6">
        <f>SUMIF(P__!Q27,"&gt;1",(P__!Q27))</f>
        <v>107142.85714285714</v>
      </c>
      <c r="I4" s="6">
        <f>SUMIF(P__!R27,"&gt;1",(P__!R27))</f>
        <v>18338.249705882354</v>
      </c>
      <c r="J4" s="7">
        <v>1801</v>
      </c>
      <c r="K4" s="19">
        <f>RANK(F4,$F$4:$F$25,1)+COUNTIF($F$4:F4,F4)-1</f>
        <v>17</v>
      </c>
      <c r="L4" s="7" t="str">
        <f>INDEX(B4:I25,MATCH(1,K4:K25,0),1)</f>
        <v>Krosno</v>
      </c>
      <c r="M4" s="6">
        <f>INDEX(B4:I25,MATCH(1,K4:K25,0),5)</f>
        <v>7991.192222222222</v>
      </c>
    </row>
    <row r="5" spans="1:13" x14ac:dyDescent="0.25">
      <c r="A5" s="16">
        <v>2</v>
      </c>
      <c r="B5" s="7" t="s">
        <v>74</v>
      </c>
      <c r="C5" s="6">
        <f>SUM(P__!L28)</f>
        <v>15714.401250000001</v>
      </c>
      <c r="D5" s="6">
        <f>SUM(P__!M28)</f>
        <v>8595.8549999999996</v>
      </c>
      <c r="E5" s="6">
        <f>SUM(P__!N28)</f>
        <v>6066.8047530864196</v>
      </c>
      <c r="F5" s="369">
        <f>SUMIF(P__!O28,"&gt;1",(P__!O28))</f>
        <v>19397.623559322034</v>
      </c>
      <c r="G5" s="6">
        <f>SUM(P__!P28)</f>
        <v>31437.952110091741</v>
      </c>
      <c r="H5" s="6">
        <f>SUM(P__!Q28)</f>
        <v>37726.620416666665</v>
      </c>
      <c r="I5" s="6">
        <f>SUM(P__!R28)</f>
        <v>17228.571428571428</v>
      </c>
      <c r="J5" s="7">
        <v>1802</v>
      </c>
      <c r="K5" s="19">
        <f>RANK(F5,$F$4:$F$25,1)+COUNTIF($F$4:F5,F5)-1</f>
        <v>16</v>
      </c>
      <c r="L5" s="18" t="str">
        <f>INDEX(B4:I25,MATCH(2,K4:K25,0),1)</f>
        <v>Sanok</v>
      </c>
      <c r="M5" s="6">
        <f>INDEX(B4:I25,MATCH(2,K4:K25,0),5)</f>
        <v>10000.877894736841</v>
      </c>
    </row>
    <row r="6" spans="1:13" x14ac:dyDescent="0.25">
      <c r="A6" s="16">
        <v>3</v>
      </c>
      <c r="B6" s="7" t="s">
        <v>75</v>
      </c>
      <c r="C6" s="6">
        <f>SUM(P__!L29)</f>
        <v>14942.120753768842</v>
      </c>
      <c r="D6" s="6">
        <f>SUM(P__!M29)</f>
        <v>10251.5</v>
      </c>
      <c r="E6" s="6">
        <f>SUM(P__!N29)</f>
        <v>7773.3001265822777</v>
      </c>
      <c r="F6" s="369">
        <f>SUMIF(P__!O29,"&gt;1",(P__!O29))</f>
        <v>17579.073333333334</v>
      </c>
      <c r="G6" s="6">
        <f>SUM(P__!P29)</f>
        <v>24094.089739130432</v>
      </c>
      <c r="H6" s="6">
        <f>SUM(P__!Q29)</f>
        <v>40966.443478260873</v>
      </c>
      <c r="I6" s="6">
        <f>SUM(P__!R29)</f>
        <v>11734.375</v>
      </c>
      <c r="J6" s="7">
        <v>1803</v>
      </c>
      <c r="K6" s="19">
        <f>RANK(F6,$F$4:$F$25,1)+COUNTIF($F$4:F6,F6)-1</f>
        <v>12</v>
      </c>
      <c r="L6" s="18" t="str">
        <f>INDEX(B4:I25,MATCH(3,K4:K25,0),1)</f>
        <v>Mielec</v>
      </c>
      <c r="M6" s="6">
        <f>INDEX(B4:I25,MATCH(3,K4:K25,0),5)</f>
        <v>11377.817031250001</v>
      </c>
    </row>
    <row r="7" spans="1:13" x14ac:dyDescent="0.25">
      <c r="A7" s="16">
        <v>4</v>
      </c>
      <c r="B7" s="7" t="s">
        <v>76</v>
      </c>
      <c r="C7" s="6">
        <f>SUM(P__!L30)</f>
        <v>13379.878502994012</v>
      </c>
      <c r="D7" s="6">
        <f>SUM(P__!M30)</f>
        <v>10438.48</v>
      </c>
      <c r="E7" s="6">
        <f>SUM(P__!N30)</f>
        <v>9845.926007604563</v>
      </c>
      <c r="F7" s="369">
        <f>SUMIF(P__!O30,"&gt;1",(P__!O30))</f>
        <v>18301.619774436091</v>
      </c>
      <c r="G7" s="6">
        <f>SUM(P__!P30)</f>
        <v>31538.182136752137</v>
      </c>
      <c r="H7" s="6">
        <f>SUM(P__!Q30)</f>
        <v>45659.340540540536</v>
      </c>
      <c r="I7" s="6">
        <f>SUM(P__!R30)</f>
        <v>13770.712608695652</v>
      </c>
      <c r="J7" s="7">
        <v>1804</v>
      </c>
      <c r="K7" s="19">
        <f>RANK(F7,$F$4:$F$25,1)+COUNTIF($F$4:F7,F7)-1</f>
        <v>14</v>
      </c>
      <c r="L7" s="18" t="str">
        <f>INDEX(B4:I25,MATCH(4,K4:K25,0),1)</f>
        <v>Leżajsk</v>
      </c>
      <c r="M7" s="6">
        <f>INDEX(B4:I25,MATCH(4,K4:K25,0),5)</f>
        <v>13031.564930555556</v>
      </c>
    </row>
    <row r="8" spans="1:13" x14ac:dyDescent="0.25">
      <c r="A8" s="16">
        <v>5</v>
      </c>
      <c r="B8" s="7" t="s">
        <v>77</v>
      </c>
      <c r="C8" s="6">
        <f>SUM(P__!L31)</f>
        <v>12778.869616613418</v>
      </c>
      <c r="D8" s="6">
        <f>SUM(P__!M31)</f>
        <v>11194.186874999999</v>
      </c>
      <c r="E8" s="6">
        <f>SUM(P__!N31)</f>
        <v>9807.594794520548</v>
      </c>
      <c r="F8" s="369">
        <f>SUMIF(P__!O31,"&gt;1",(P__!O31))</f>
        <v>14134.019583333335</v>
      </c>
      <c r="G8" s="6">
        <f>SUM(P__!P31)</f>
        <v>25059.573243243241</v>
      </c>
      <c r="H8" s="6">
        <f>SUM(P__!Q31)</f>
        <v>82121.770769230774</v>
      </c>
      <c r="I8" s="6">
        <f>SUM(P__!R31)</f>
        <v>16382.142857142857</v>
      </c>
      <c r="J8" s="7">
        <v>1805</v>
      </c>
      <c r="K8" s="19">
        <f>RANK(F8,$F$4:$F$25,1)+COUNTIF($F$4:F8,F8)-1</f>
        <v>5</v>
      </c>
      <c r="L8" s="18" t="str">
        <f>INDEX(B4:I25,MATCH(5,K4:K25,0),1)</f>
        <v>Jasło</v>
      </c>
      <c r="M8" s="6">
        <f>INDEX(B4:I25,MATCH(5,K4:K25,0),5)</f>
        <v>14134.019583333335</v>
      </c>
    </row>
    <row r="9" spans="1:13" x14ac:dyDescent="0.25">
      <c r="A9" s="16">
        <v>6</v>
      </c>
      <c r="B9" s="7" t="s">
        <v>78</v>
      </c>
      <c r="C9" s="6">
        <f>SUM(P__!L32)</f>
        <v>11641.389814814815</v>
      </c>
      <c r="D9" s="6">
        <f>SUM(P__!M32)</f>
        <v>9158.8448275862065</v>
      </c>
      <c r="E9" s="6">
        <f>SUM(P__!N32)</f>
        <v>5263.067345132743</v>
      </c>
      <c r="F9" s="369">
        <f>SUMIF(P__!O32,"&gt;1",(P__!O32))</f>
        <v>18504.820666666667</v>
      </c>
      <c r="G9" s="6">
        <f>SUM(P__!P32)</f>
        <v>29455.622950819674</v>
      </c>
      <c r="H9" s="6">
        <f>SUM(P__!Q32)</f>
        <v>50004.321951219514</v>
      </c>
      <c r="I9" s="6">
        <f>SUM(P__!R32)</f>
        <v>15000</v>
      </c>
      <c r="J9" s="7">
        <v>1806</v>
      </c>
      <c r="K9" s="19">
        <f>RANK(F9,$F$4:$F$25,1)+COUNTIF($F$4:F9,F9)-1</f>
        <v>15</v>
      </c>
      <c r="L9" s="18" t="str">
        <f>INDEX(B4:I25,MATCH(6,K4:K25,0),1)</f>
        <v>Tarnobrzeg</v>
      </c>
      <c r="M9" s="6">
        <f>INDEX(B4:I25,MATCH(6,K4:K25,0),5)</f>
        <v>15637.929335793357</v>
      </c>
    </row>
    <row r="10" spans="1:13" x14ac:dyDescent="0.25">
      <c r="A10" s="218">
        <v>7</v>
      </c>
      <c r="B10" s="219" t="s">
        <v>79</v>
      </c>
      <c r="C10" s="215">
        <f>SUM(P__!L33)</f>
        <v>12553.818190954773</v>
      </c>
      <c r="D10" s="215">
        <f>SUM(P__!M33)</f>
        <v>8620.3804166666669</v>
      </c>
      <c r="E10" s="215">
        <f>SUM(P__!N33)</f>
        <v>6423.7599999999993</v>
      </c>
      <c r="F10" s="370">
        <f>SUMIF(P__!O33,"&gt;1",(P__!O33))</f>
        <v>7991.192222222222</v>
      </c>
      <c r="G10" s="215">
        <f>SUM(P__!P33)</f>
        <v>23694.158785046729</v>
      </c>
      <c r="H10" s="215">
        <f>SUM(P__!Q33)</f>
        <v>54219.033389830511</v>
      </c>
      <c r="I10" s="215">
        <f>SUM(P__!R33)</f>
        <v>8435.8974358974356</v>
      </c>
      <c r="J10" s="372" t="s">
        <v>143</v>
      </c>
      <c r="K10" s="19">
        <f>RANK(F10,$F$4:$F$25,1)+COUNTIF($F$4:F10,F10)-1</f>
        <v>1</v>
      </c>
      <c r="L10" s="18" t="str">
        <f>INDEX(B4:I25,MATCH(7,K4:K25,0),1)</f>
        <v>Lubaczów</v>
      </c>
      <c r="M10" s="6">
        <f>INDEX(B4:I25,MATCH(7,K4:K25,0),5)</f>
        <v>16346.299629629631</v>
      </c>
    </row>
    <row r="11" spans="1:13" x14ac:dyDescent="0.25">
      <c r="A11" s="16">
        <v>8</v>
      </c>
      <c r="B11" s="7" t="s">
        <v>80</v>
      </c>
      <c r="C11" s="6">
        <f>SUM(P__!L35)</f>
        <v>12980.238530701754</v>
      </c>
      <c r="D11" s="6">
        <f>SUM(P__!M35)</f>
        <v>11343.624054054055</v>
      </c>
      <c r="E11" s="6">
        <f>SUM(P__!N35)</f>
        <v>9549.6243902439019</v>
      </c>
      <c r="F11" s="369">
        <f>SUMIF(P__!O35,"&gt;1",(P__!O35))</f>
        <v>13031.564930555556</v>
      </c>
      <c r="G11" s="6">
        <f>SUM(P__!P35)</f>
        <v>28104.513513513513</v>
      </c>
      <c r="H11" s="6">
        <f>SUM(P__!Q35)</f>
        <v>110291.49571428572</v>
      </c>
      <c r="I11" s="6">
        <f>SUM(P__!R35)</f>
        <v>10323.529411764706</v>
      </c>
      <c r="J11" s="7">
        <v>1808</v>
      </c>
      <c r="K11" s="153">
        <f>RANK(F11,$F$4:$F$25,1)+COUNTIF($F$4:F11,F11)-1</f>
        <v>4</v>
      </c>
      <c r="L11" s="154" t="str">
        <f>INDEX(B4:I25,MATCH(8,K4:K25,0),1)</f>
        <v>Przemyśl</v>
      </c>
      <c r="M11" s="22">
        <f>INDEX(B4:I25,MATCH(8,K4:K25,0),5)</f>
        <v>16358.021860465115</v>
      </c>
    </row>
    <row r="12" spans="1:13" x14ac:dyDescent="0.25">
      <c r="A12" s="16">
        <v>9</v>
      </c>
      <c r="B12" s="7" t="s">
        <v>81</v>
      </c>
      <c r="C12" s="6">
        <f>SUM(P__!L36)</f>
        <v>12888.656102941177</v>
      </c>
      <c r="D12" s="6">
        <f>SUM(P__!M36)</f>
        <v>10973.99</v>
      </c>
      <c r="E12" s="6">
        <f>SUM(P__!N36)</f>
        <v>9369.1174193548377</v>
      </c>
      <c r="F12" s="369">
        <f>SUMIF(P__!O36,"&gt;1",(P__!O36))</f>
        <v>16346.299629629631</v>
      </c>
      <c r="G12" s="6">
        <f>SUM(P__!P36)</f>
        <v>27988.132931034481</v>
      </c>
      <c r="H12" s="216">
        <f>SUMIF(P__!Q36,"&gt;1",(P__!Q36))</f>
        <v>0</v>
      </c>
      <c r="I12" s="6">
        <f>SUMIF(P__!R36,"&gt;1",(P__!R36))</f>
        <v>9749.8708139534883</v>
      </c>
      <c r="J12" s="7">
        <v>1809</v>
      </c>
      <c r="K12" s="19">
        <f>RANK(F12,$F$4:$F$25,1)+COUNTIF($F$4:F12,F12)-1</f>
        <v>7</v>
      </c>
      <c r="L12" s="18" t="str">
        <f>INDEX(B4:I25,MATCH(9,K4:K25,0),1)</f>
        <v>Strzyżów</v>
      </c>
      <c r="M12" s="6">
        <f>INDEX(B4:I25,MATCH(9,K4:K25,0),5)</f>
        <v>16393.417863247862</v>
      </c>
    </row>
    <row r="13" spans="1:13" x14ac:dyDescent="0.25">
      <c r="A13" s="16">
        <v>10</v>
      </c>
      <c r="B13" s="7" t="s">
        <v>82</v>
      </c>
      <c r="C13" s="6">
        <f>SUM(P__!L37)</f>
        <v>15085.837870036099</v>
      </c>
      <c r="D13" s="6">
        <f>SUM(P__!M37)</f>
        <v>12609.18</v>
      </c>
      <c r="E13" s="6">
        <f>SUM(P__!N37)</f>
        <v>8129.4257516339867</v>
      </c>
      <c r="F13" s="369">
        <f>SUMIF(P__!O37,"&gt;1",(P__!O37))</f>
        <v>17523.310650406504</v>
      </c>
      <c r="G13" s="6">
        <f>SUM(P__!P37)</f>
        <v>31102.884615384617</v>
      </c>
      <c r="H13" s="6">
        <f>SUM(P__!Q37)</f>
        <v>37687.5</v>
      </c>
      <c r="I13" s="6">
        <f>SUM(P__!R37)</f>
        <v>8489.3617021276605</v>
      </c>
      <c r="J13" s="7">
        <v>1810</v>
      </c>
      <c r="K13" s="19">
        <f>RANK(F13,$F$4:$F$25,1)+COUNTIF($F$4:F13,F13)-1</f>
        <v>11</v>
      </c>
      <c r="L13" s="18" t="str">
        <f>INDEX(B4:I25,MATCH(10,K4:K25,0),1)</f>
        <v>Podkarpacie</v>
      </c>
      <c r="M13" s="6">
        <f>INDEX(B4:I25,MATCH(10,K4:K25,0),5)</f>
        <v>17225.128580246917</v>
      </c>
    </row>
    <row r="14" spans="1:13" x14ac:dyDescent="0.25">
      <c r="A14" s="16">
        <v>11</v>
      </c>
      <c r="B14" s="7" t="s">
        <v>83</v>
      </c>
      <c r="C14" s="6">
        <f>SUM(P__!L38)</f>
        <v>8961.8028623188402</v>
      </c>
      <c r="D14" s="6">
        <f>SUM(P__!M38)</f>
        <v>4585.1477777777782</v>
      </c>
      <c r="E14" s="6">
        <f>SUM(P__!N38)</f>
        <v>7577.0269194312796</v>
      </c>
      <c r="F14" s="369">
        <f>SUMIF(P__!O38,"&gt;1",(P__!O38))</f>
        <v>11377.817031250001</v>
      </c>
      <c r="G14" s="6">
        <f>SUM(P__!P38)</f>
        <v>20844.939906542055</v>
      </c>
      <c r="H14" s="6">
        <f>SUM(P__!Q38)</f>
        <v>38286.187350427346</v>
      </c>
      <c r="I14" s="6">
        <f>SUM(P__!R38)</f>
        <v>8000</v>
      </c>
      <c r="J14" s="7">
        <v>1811</v>
      </c>
      <c r="K14" s="19">
        <f>RANK(F14,$F$4:$F$25,1)+COUNTIF($F$4:F14,F14)-1</f>
        <v>3</v>
      </c>
      <c r="L14" s="154" t="str">
        <f>INDEX(B4:I25,MATCH(11,K4:K25,0),1)</f>
        <v>Łańcut</v>
      </c>
      <c r="M14" s="22">
        <f>INDEX(B4:I25,MATCH(11,K4:K25,0),5)</f>
        <v>17523.310650406504</v>
      </c>
    </row>
    <row r="15" spans="1:13" x14ac:dyDescent="0.25">
      <c r="A15" s="16">
        <v>12</v>
      </c>
      <c r="B15" s="7" t="s">
        <v>84</v>
      </c>
      <c r="C15" s="6">
        <f>SUM(P__!L39)</f>
        <v>14570.84357827476</v>
      </c>
      <c r="D15" s="6">
        <f>SUM(P__!M39)</f>
        <v>15438.321538461538</v>
      </c>
      <c r="E15" s="6">
        <f>SUM(P__!N39)</f>
        <v>8099.6970550161814</v>
      </c>
      <c r="F15" s="369">
        <f>SUMIF(P__!O39,"&gt;1",(P__!O39))</f>
        <v>21828.017884615383</v>
      </c>
      <c r="G15" s="6">
        <f>SUM(P__!P39)</f>
        <v>25669.014084507042</v>
      </c>
      <c r="H15" s="6">
        <f>SUM(P__!Q39)</f>
        <v>65243.697428571431</v>
      </c>
      <c r="I15" s="6">
        <f>SUM(P__!R39)</f>
        <v>14850</v>
      </c>
      <c r="J15" s="7">
        <v>1812</v>
      </c>
      <c r="K15" s="19">
        <f>RANK(F15,$F$4:$F$25,1)+COUNTIF($F$4:F15,F15)-1</f>
        <v>21</v>
      </c>
      <c r="L15" s="220" t="str">
        <f>INDEX(B4:I25,MATCH(12,K4:K25,0),1)</f>
        <v>Dębica</v>
      </c>
      <c r="M15" s="216">
        <f>INDEX(B4:I25,MATCH(12,K4:K25,0),5)</f>
        <v>17579.073333333334</v>
      </c>
    </row>
    <row r="16" spans="1:13" x14ac:dyDescent="0.25">
      <c r="A16" s="16">
        <v>13</v>
      </c>
      <c r="B16" s="7" t="s">
        <v>85</v>
      </c>
      <c r="C16" s="6">
        <f>SUM(P__!L40)</f>
        <v>15573.837295454547</v>
      </c>
      <c r="D16" s="6">
        <f>SUM(P__!M40)</f>
        <v>8368.0500000000011</v>
      </c>
      <c r="E16" s="6">
        <f>SUM(P__!N40)</f>
        <v>9730.7848496240604</v>
      </c>
      <c r="F16" s="369">
        <f>SUMIF(P__!O40,"&gt;1",(P__!O40))</f>
        <v>22787.972302158272</v>
      </c>
      <c r="G16" s="6">
        <f>SUM(P__!P40)</f>
        <v>33022.659577464787</v>
      </c>
      <c r="H16" s="6">
        <f>SUM(P__!Q40)</f>
        <v>41252.479767441859</v>
      </c>
      <c r="I16" s="6">
        <f>SUM(P__!R40)</f>
        <v>9086.95652173913</v>
      </c>
      <c r="J16" s="7">
        <v>1814</v>
      </c>
      <c r="K16" s="20">
        <f>RANK(F16,$F$4:$F$25,1)+COUNTIF($F$4:F16,F16)-1</f>
        <v>22</v>
      </c>
      <c r="L16" s="21" t="str">
        <f>INDEX(B4:I25,MATCH(13,K4:K25,0),1)</f>
        <v>Stalowa Wola</v>
      </c>
      <c r="M16" s="6">
        <f>INDEX(B4:I25,MATCH(13,K4:K25,0),5)</f>
        <v>17629.1836</v>
      </c>
    </row>
    <row r="17" spans="1:13" x14ac:dyDescent="0.25">
      <c r="A17" s="16">
        <v>14</v>
      </c>
      <c r="B17" s="7" t="s">
        <v>86</v>
      </c>
      <c r="C17" s="6">
        <f>SUM(P__!L41)</f>
        <v>12915.99174796748</v>
      </c>
      <c r="D17" s="6">
        <f>SUM(P__!M41)</f>
        <v>8160.9958823529405</v>
      </c>
      <c r="E17" s="6">
        <f>SUM(P__!N41)</f>
        <v>10445.929351851853</v>
      </c>
      <c r="F17" s="369">
        <f>SUMIF(P__!O41,"&gt;1",(P__!O41))</f>
        <v>20292.108787878788</v>
      </c>
      <c r="G17" s="6">
        <f>SUM(P__!P41)</f>
        <v>29123.921538461538</v>
      </c>
      <c r="H17" s="6">
        <f>SUM(P__!Q41)</f>
        <v>40850.424109589039</v>
      </c>
      <c r="I17" s="6">
        <f>SUM(P__!R41)</f>
        <v>5888.8888888888887</v>
      </c>
      <c r="J17" s="7">
        <v>1815</v>
      </c>
      <c r="K17" s="20">
        <f>RANK(F17,$F$4:$F$25,1)+COUNTIF($F$4:F17,F17)-1</f>
        <v>18</v>
      </c>
      <c r="L17" s="21" t="str">
        <f>INDEX(B4:I25,MATCH(14,K4:K25,0),1)</f>
        <v>Jarosław</v>
      </c>
      <c r="M17" s="6">
        <f>INDEX(B4:I25,MATCH(14,K4:K25,0),5)</f>
        <v>18301.619774436091</v>
      </c>
    </row>
    <row r="18" spans="1:13" x14ac:dyDescent="0.25">
      <c r="A18" s="373">
        <v>15</v>
      </c>
      <c r="B18" s="372" t="s">
        <v>87</v>
      </c>
      <c r="C18" s="215">
        <f>SUM(P__!L43)</f>
        <v>11904.609334389857</v>
      </c>
      <c r="D18" s="215">
        <f>SUM(P__!M43)</f>
        <v>2739.4103448275864</v>
      </c>
      <c r="E18" s="215">
        <f>SUM(P__!N43)</f>
        <v>10371.263699633701</v>
      </c>
      <c r="F18" s="370">
        <f>SUMIF(P__!O43,"&gt;1",(P__!O43))</f>
        <v>21381.615312500002</v>
      </c>
      <c r="G18" s="215">
        <f>SUM(P__!P43)</f>
        <v>49685.009080459771</v>
      </c>
      <c r="H18" s="215">
        <f>SUM(P__!Q43)</f>
        <v>74903.813303571427</v>
      </c>
      <c r="I18" s="215">
        <f>SUM(P__!R43)</f>
        <v>11535.76390625</v>
      </c>
      <c r="J18" s="372" t="s">
        <v>145</v>
      </c>
      <c r="K18" s="16">
        <f>RANK(F18,$F$4:$F$25,1)+COUNTIF($F$4:F18,F18)-1</f>
        <v>19</v>
      </c>
      <c r="L18" s="7" t="str">
        <f>INDEX(B4:I25,MATCH(15,K4:K25,0),1)</f>
        <v>Kolbuszowa</v>
      </c>
      <c r="M18" s="6">
        <f>INDEX(B4:I25,MATCH(15,K4:K25,0),5)</f>
        <v>18504.820666666667</v>
      </c>
    </row>
    <row r="19" spans="1:13" x14ac:dyDescent="0.25">
      <c r="A19" s="16">
        <v>16</v>
      </c>
      <c r="B19" s="7" t="s">
        <v>88</v>
      </c>
      <c r="C19" s="6">
        <f>SUM(P__!L44)</f>
        <v>12328.4198125</v>
      </c>
      <c r="D19" s="6">
        <f>SUM(P__!M44)</f>
        <v>8388.8655223880596</v>
      </c>
      <c r="E19" s="6">
        <f>SUM(P__!N44)</f>
        <v>7298.9246111111106</v>
      </c>
      <c r="F19" s="369">
        <f>SUMIF(P__!O44,"&gt;1",(P__!O44))</f>
        <v>10000.877894736841</v>
      </c>
      <c r="G19" s="6">
        <f>SUM(P__!P44)</f>
        <v>25636.279687499999</v>
      </c>
      <c r="H19" s="6">
        <f>SUM(P__!Q44)</f>
        <v>47949.561836734691</v>
      </c>
      <c r="I19" s="6">
        <f>SUM(P__!R44)</f>
        <v>9954.5555555555547</v>
      </c>
      <c r="J19" s="7">
        <v>1817</v>
      </c>
      <c r="K19" s="16">
        <f>RANK(F19,$F$4:$F$25,1)+COUNTIF($F$4:F19,F19)-1</f>
        <v>2</v>
      </c>
      <c r="L19" s="7" t="str">
        <f>INDEX(B4:I25,MATCH(16,K4:K25,0),1)</f>
        <v>Brzozów</v>
      </c>
      <c r="M19" s="6">
        <f>INDEX(B4:I25,MATCH(16,K4:K25,0),5)</f>
        <v>19397.623559322034</v>
      </c>
    </row>
    <row r="20" spans="1:13" x14ac:dyDescent="0.25">
      <c r="A20" s="16">
        <v>17</v>
      </c>
      <c r="B20" s="7" t="s">
        <v>89</v>
      </c>
      <c r="C20" s="6">
        <f>SUM(P__!L45)</f>
        <v>13350.010120967741</v>
      </c>
      <c r="D20" s="6">
        <f>SUM(P__!M45)</f>
        <v>3372.0714150943395</v>
      </c>
      <c r="E20" s="6">
        <f>SUM(P__!N45)</f>
        <v>9714.0203846153836</v>
      </c>
      <c r="F20" s="369">
        <f>SUMIF(P__!O45,"&gt;1",(P__!O45))</f>
        <v>17629.1836</v>
      </c>
      <c r="G20" s="6">
        <f>SUM(P__!P45)</f>
        <v>22324.325232558138</v>
      </c>
      <c r="H20" s="6">
        <f>SUM(P__!Q45)</f>
        <v>58375.379230769235</v>
      </c>
      <c r="I20" s="6">
        <f>SUM(P__!R45)</f>
        <v>8169.3208823529403</v>
      </c>
      <c r="J20" s="7">
        <v>1818</v>
      </c>
      <c r="K20" s="16">
        <f>RANK(F20,$F$4:$F$25,1)+COUNTIF($F$4:F20,F20)-1</f>
        <v>13</v>
      </c>
      <c r="L20" s="7" t="str">
        <f>INDEX(B4:I25,MATCH(17,K4:K25,0),1)</f>
        <v>Ustrzyki Dolne</v>
      </c>
      <c r="M20" s="6">
        <f>INDEX(B4:I25,MATCH(17,K4:K25,0),5)</f>
        <v>19526.167142857146</v>
      </c>
    </row>
    <row r="21" spans="1:13" x14ac:dyDescent="0.25">
      <c r="A21" s="16">
        <v>18</v>
      </c>
      <c r="B21" s="7" t="s">
        <v>90</v>
      </c>
      <c r="C21" s="6">
        <f>SUM(P__!L46)</f>
        <v>13442.706183953034</v>
      </c>
      <c r="D21" s="6">
        <f>SUM(P__!M46)</f>
        <v>10985.015333333335</v>
      </c>
      <c r="E21" s="6">
        <f>SUM(P__!N46)</f>
        <v>7578.7800000000007</v>
      </c>
      <c r="F21" s="369">
        <f>SUMIF(P__!O46,"&gt;1",(P__!O46))</f>
        <v>16393.417863247862</v>
      </c>
      <c r="G21" s="6">
        <f>SUM(P__!P46)</f>
        <v>37943.405529411764</v>
      </c>
      <c r="H21" s="6">
        <f>SUM(P__!Q46)</f>
        <v>58952.05169811321</v>
      </c>
      <c r="I21" s="6">
        <f>SUM(P__!R46)</f>
        <v>10722.222222222223</v>
      </c>
      <c r="J21" s="7">
        <v>1819</v>
      </c>
      <c r="K21" s="16">
        <f>RANK(F21,$F$4:$F$25,1)+COUNTIF($F$4:F21,F21)-1</f>
        <v>9</v>
      </c>
      <c r="L21" s="7" t="str">
        <f>INDEX(B4:I25,MATCH(18,K4:K25,0),1)</f>
        <v>Ropczyce</v>
      </c>
      <c r="M21" s="6">
        <f>INDEX(B4:I25,MATCH(18,K4:K25,0),5)</f>
        <v>20292.108787878788</v>
      </c>
    </row>
    <row r="22" spans="1:13" x14ac:dyDescent="0.25">
      <c r="A22" s="373">
        <v>19</v>
      </c>
      <c r="B22" s="372" t="s">
        <v>91</v>
      </c>
      <c r="C22" s="215">
        <f>SUM(P__!L47)</f>
        <v>12141.553074074074</v>
      </c>
      <c r="D22" s="215">
        <f>SUM(P__!M47)</f>
        <v>12682.744615384614</v>
      </c>
      <c r="E22" s="215">
        <f>SUM(P__!N47)</f>
        <v>8848.4821249999986</v>
      </c>
      <c r="F22" s="370">
        <f>SUMIF(P__!O47,"&gt;1",(P__!O47))</f>
        <v>15637.929335793357</v>
      </c>
      <c r="G22" s="215">
        <f>SUM(P__!P47)</f>
        <v>19700.752253521125</v>
      </c>
      <c r="H22" s="215">
        <f>SUM(P__!Q47)</f>
        <v>28929.117631578945</v>
      </c>
      <c r="I22" s="215">
        <f>SUM(P__!R47)</f>
        <v>8913.7588888888895</v>
      </c>
      <c r="J22" s="372" t="s">
        <v>146</v>
      </c>
      <c r="K22" s="16">
        <f>RANK(F22,$F$4:$F$25,1)+COUNTIF($F$4:F22,F22)-1</f>
        <v>6</v>
      </c>
      <c r="L22" s="7" t="str">
        <f>INDEX(B4:I25,MATCH(19,K4:K25,0),1)</f>
        <v>Rzeszów</v>
      </c>
      <c r="M22" s="6">
        <f>INDEX(B4:I25,MATCH(19,K4:K25,0),5)</f>
        <v>21381.615312500002</v>
      </c>
    </row>
    <row r="23" spans="1:13" x14ac:dyDescent="0.25">
      <c r="A23" s="16">
        <v>20</v>
      </c>
      <c r="B23" s="7" t="s">
        <v>92</v>
      </c>
      <c r="C23" s="6">
        <f>SUM(P__!L48)</f>
        <v>13395.393404255319</v>
      </c>
      <c r="D23" s="6">
        <f>SUM(P__!M48)</f>
        <v>5553.9644444444448</v>
      </c>
      <c r="E23" s="6">
        <f>SUM(P__!N48)</f>
        <v>5895.8222857142855</v>
      </c>
      <c r="F23" s="369">
        <f>SUMIF(P__!O48,"&gt;1",(P__!O48))</f>
        <v>21436.601666666669</v>
      </c>
      <c r="G23" s="6">
        <f>SUM(P__!P48)</f>
        <v>44073.572068965521</v>
      </c>
      <c r="H23" s="6">
        <f>SUM(P__!Q48)</f>
        <v>127669.182</v>
      </c>
      <c r="I23" s="6">
        <f>SUM(P__!R48)</f>
        <v>14985.714285714286</v>
      </c>
      <c r="J23" s="7">
        <v>1821</v>
      </c>
      <c r="K23" s="16">
        <f>RANK(F23,$F$4:$F$25,1)+COUNTIF($F$4:F23,F23)-1</f>
        <v>20</v>
      </c>
      <c r="L23" s="7" t="str">
        <f>INDEX(B4:I25,MATCH(20,K4:K25,0),1)</f>
        <v>Lesko</v>
      </c>
      <c r="M23" s="6">
        <f>INDEX(B4:I25,MATCH(20,K4:K25,0),5)</f>
        <v>21436.601666666669</v>
      </c>
    </row>
    <row r="24" spans="1:13" x14ac:dyDescent="0.25">
      <c r="A24" s="373">
        <v>21</v>
      </c>
      <c r="B24" s="372" t="s">
        <v>97</v>
      </c>
      <c r="C24" s="215">
        <f>SUM(P__!L49)</f>
        <v>13481.052800000001</v>
      </c>
      <c r="D24" s="215">
        <f>SUM(P__!M49)</f>
        <v>8729.228000000001</v>
      </c>
      <c r="E24" s="215">
        <f>SUM(P__!N49)</f>
        <v>11767.826356275304</v>
      </c>
      <c r="F24" s="370">
        <f>SUMIF(P__!O49,"&gt;1",(P__!O49))</f>
        <v>16358.021860465115</v>
      </c>
      <c r="G24" s="215">
        <f>SUM(P__!P49)</f>
        <v>22824.840641025643</v>
      </c>
      <c r="H24" s="215">
        <f>SUM(P__!Q49)</f>
        <v>38564.820476190478</v>
      </c>
      <c r="I24" s="215">
        <f>SUM(P__!R49)</f>
        <v>9857.1428571428569</v>
      </c>
      <c r="J24" s="372" t="s">
        <v>144</v>
      </c>
      <c r="K24" s="16">
        <f>RANK(F24,$F$4:$F$25,1)+COUNTIF($F$4:F24,F24)-1</f>
        <v>8</v>
      </c>
      <c r="L24" s="7" t="str">
        <f>INDEX(B4:I25,MATCH(21,K4:K25,0),1)</f>
        <v>Nisko</v>
      </c>
      <c r="M24" s="6">
        <f>INDEX(B4:I25,MATCH(21,K4:K25,0),5)</f>
        <v>21828.017884615383</v>
      </c>
    </row>
    <row r="25" spans="1:13" x14ac:dyDescent="0.25">
      <c r="A25" s="16">
        <v>22</v>
      </c>
      <c r="B25" s="18" t="s">
        <v>100</v>
      </c>
      <c r="C25" s="6">
        <f>SUM(P__!L50)</f>
        <v>13014.846298394708</v>
      </c>
      <c r="D25" s="6">
        <f>SUM(P__!M50)</f>
        <v>7250.3362483994879</v>
      </c>
      <c r="E25" s="6">
        <f>SUM(P__!N50)</f>
        <v>8721.5238630299427</v>
      </c>
      <c r="F25" s="369">
        <f>SUMIF(P__!O50,"&gt;1",(P__!O50))</f>
        <v>17225.128580246917</v>
      </c>
      <c r="G25" s="6">
        <f>SUM(P__!P50)</f>
        <v>29182.742895805139</v>
      </c>
      <c r="H25" s="6">
        <f>SUM(P__!Q50)</f>
        <v>53083.715462184882</v>
      </c>
      <c r="I25" s="6">
        <f>SUM(P__!R50)</f>
        <v>11216.649255202628</v>
      </c>
      <c r="J25" s="7">
        <v>1800</v>
      </c>
      <c r="K25" s="16">
        <f>RANK(F25,$F$4:$F$25,1)+COUNTIF($F$4:F25,F25)-1</f>
        <v>10</v>
      </c>
      <c r="L25" s="7" t="str">
        <f>INDEX(B4:I25,MATCH(22,K4:K25,0),1)</f>
        <v>Przeworsk</v>
      </c>
      <c r="M25" s="6">
        <f>INDEX(B4:I25,MATCH(22,K4:K25,0),5)</f>
        <v>22787.972302158272</v>
      </c>
    </row>
    <row r="26" spans="1:13" x14ac:dyDescent="0.25">
      <c r="B26" s="10"/>
      <c r="C26" s="10">
        <v>1</v>
      </c>
      <c r="D26" s="10">
        <v>2</v>
      </c>
      <c r="E26" s="10">
        <v>3</v>
      </c>
      <c r="F26" s="10">
        <v>4</v>
      </c>
      <c r="G26" s="10">
        <v>5</v>
      </c>
      <c r="H26" s="10">
        <v>6</v>
      </c>
      <c r="I26" s="10">
        <v>7</v>
      </c>
    </row>
    <row r="27" spans="1:13" x14ac:dyDescent="0.25">
      <c r="A27" s="16">
        <v>1</v>
      </c>
      <c r="B27" s="17" t="s">
        <v>1</v>
      </c>
      <c r="C27" s="15" t="s">
        <v>152</v>
      </c>
      <c r="F27" s="10"/>
    </row>
    <row r="28" spans="1:13" x14ac:dyDescent="0.25">
      <c r="A28" s="16">
        <v>2</v>
      </c>
      <c r="B28" s="17" t="s">
        <v>2</v>
      </c>
      <c r="C28" s="15" t="s">
        <v>152</v>
      </c>
    </row>
    <row r="29" spans="1:13" x14ac:dyDescent="0.25">
      <c r="A29" s="16">
        <v>3</v>
      </c>
      <c r="B29" s="17" t="s">
        <v>3</v>
      </c>
      <c r="C29" s="15" t="s">
        <v>152</v>
      </c>
    </row>
    <row r="30" spans="1:13" x14ac:dyDescent="0.25">
      <c r="A30" s="348">
        <v>4</v>
      </c>
      <c r="B30" s="368" t="s">
        <v>4</v>
      </c>
      <c r="C30" s="15" t="s">
        <v>152</v>
      </c>
    </row>
    <row r="31" spans="1:13" x14ac:dyDescent="0.25">
      <c r="A31" s="16">
        <v>5</v>
      </c>
      <c r="B31" s="17" t="s">
        <v>16</v>
      </c>
      <c r="C31" s="15" t="s">
        <v>152</v>
      </c>
    </row>
    <row r="32" spans="1:13" x14ac:dyDescent="0.25">
      <c r="A32" s="16">
        <v>6</v>
      </c>
      <c r="B32" s="17" t="s">
        <v>17</v>
      </c>
      <c r="C32" s="15" t="s">
        <v>152</v>
      </c>
    </row>
    <row r="33" spans="1:3" x14ac:dyDescent="0.25">
      <c r="A33" s="16">
        <v>7</v>
      </c>
      <c r="B33" s="17" t="s">
        <v>11</v>
      </c>
      <c r="C33" s="15" t="s">
        <v>152</v>
      </c>
    </row>
  </sheetData>
  <sortState xmlns:xlrd2="http://schemas.microsoft.com/office/spreadsheetml/2017/richdata2" ref="A4:H25">
    <sortCondition ref="F4:F25"/>
  </sortState>
  <pageMargins left="0.7" right="0.7" top="0.75" bottom="0.75" header="0.3" footer="0.3"/>
  <pageSetup paperSize="9" scale="54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usz22">
    <tabColor rgb="FFFF9900"/>
    <pageSetUpPr fitToPage="1"/>
  </sheetPr>
  <dimension ref="A1:M33"/>
  <sheetViews>
    <sheetView zoomScale="90" zoomScaleNormal="90" workbookViewId="0">
      <selection activeCell="H12" sqref="H12"/>
    </sheetView>
  </sheetViews>
  <sheetFormatPr defaultRowHeight="15" x14ac:dyDescent="0.25"/>
  <cols>
    <col min="1" max="1" width="5.140625" style="15" customWidth="1"/>
    <col min="2" max="2" width="13.42578125" style="15" customWidth="1"/>
    <col min="3" max="3" width="12.7109375" style="15" customWidth="1"/>
    <col min="4" max="5" width="13" style="15" customWidth="1"/>
    <col min="6" max="6" width="13.5703125" style="15" customWidth="1"/>
    <col min="7" max="7" width="12.42578125" style="15" customWidth="1"/>
    <col min="8" max="9" width="13.28515625" style="15" customWidth="1"/>
    <col min="10" max="10" width="11.5703125" style="10" customWidth="1"/>
    <col min="11" max="11" width="7.28515625" style="10" customWidth="1"/>
    <col min="12" max="12" width="14" style="10" customWidth="1"/>
    <col min="13" max="13" width="11.5703125" style="15" customWidth="1"/>
    <col min="14" max="16384" width="9.140625" style="15"/>
  </cols>
  <sheetData>
    <row r="1" spans="1:13" x14ac:dyDescent="0.25">
      <c r="A1" s="15" t="s">
        <v>153</v>
      </c>
    </row>
    <row r="2" spans="1:13" x14ac:dyDescent="0.25">
      <c r="A2" s="15" t="s">
        <v>326</v>
      </c>
    </row>
    <row r="3" spans="1:13" x14ac:dyDescent="0.25">
      <c r="A3" s="348">
        <f>SUM(P__!K26)</f>
        <v>2021</v>
      </c>
      <c r="B3" s="368" t="s">
        <v>101</v>
      </c>
      <c r="C3" s="348" t="s">
        <v>136</v>
      </c>
      <c r="D3" s="348" t="s">
        <v>135</v>
      </c>
      <c r="E3" s="348" t="s">
        <v>149</v>
      </c>
      <c r="F3" s="348" t="s">
        <v>139</v>
      </c>
      <c r="G3" s="348" t="s">
        <v>150</v>
      </c>
      <c r="H3" s="348" t="s">
        <v>148</v>
      </c>
      <c r="I3" s="348" t="s">
        <v>299</v>
      </c>
      <c r="J3" s="16"/>
      <c r="K3" s="16" t="s">
        <v>71</v>
      </c>
      <c r="L3" s="16" t="s">
        <v>151</v>
      </c>
      <c r="M3" s="43" t="s">
        <v>147</v>
      </c>
    </row>
    <row r="4" spans="1:13" x14ac:dyDescent="0.25">
      <c r="A4" s="16">
        <v>1</v>
      </c>
      <c r="B4" s="7" t="s">
        <v>73</v>
      </c>
      <c r="C4" s="6">
        <f>SUM(P__!L27)</f>
        <v>13681.669927536232</v>
      </c>
      <c r="D4" s="6">
        <f>SUM(P__!M27)</f>
        <v>11344.465</v>
      </c>
      <c r="E4" s="6">
        <f>SUM(P__!N27)</f>
        <v>6614.1498000000001</v>
      </c>
      <c r="F4" s="6">
        <f>SUMIF(P__!O27,"&gt;1",(P__!O27))</f>
        <v>19526.167142857146</v>
      </c>
      <c r="G4" s="369">
        <f>SUMIF(P__!P27,"&gt;1",(P__!P27))</f>
        <v>29999.74672727273</v>
      </c>
      <c r="H4" s="6">
        <f>SUMIF(P__!Q27,"&gt;1",(P__!Q27))</f>
        <v>107142.85714285714</v>
      </c>
      <c r="I4" s="6">
        <f>SUMIF(P__!R27,"&gt;1",(P__!R27))</f>
        <v>18338.249705882354</v>
      </c>
      <c r="J4" s="7">
        <v>1801</v>
      </c>
      <c r="K4" s="19">
        <f>RANK(G4,$G$4:$G$25,1)+COUNTIF($G$4:G4,G4)-1</f>
        <v>15</v>
      </c>
      <c r="L4" s="7" t="str">
        <f>INDEX(B4:I25,MATCH(1,K4:K25,0),1)</f>
        <v>Tarnobrzeg</v>
      </c>
      <c r="M4" s="6">
        <f>INDEX(B4:I25,MATCH(1,K4:K25,0),6)</f>
        <v>19700.752253521125</v>
      </c>
    </row>
    <row r="5" spans="1:13" x14ac:dyDescent="0.25">
      <c r="A5" s="16">
        <v>2</v>
      </c>
      <c r="B5" s="7" t="s">
        <v>74</v>
      </c>
      <c r="C5" s="6">
        <f>SUM(P__!L28)</f>
        <v>15714.401250000001</v>
      </c>
      <c r="D5" s="6">
        <f>SUM(P__!M28)</f>
        <v>8595.8549999999996</v>
      </c>
      <c r="E5" s="6">
        <f>SUM(P__!N28)</f>
        <v>6066.8047530864196</v>
      </c>
      <c r="F5" s="6">
        <f>SUMIF(P__!O28,"&gt;1",(P__!O28))</f>
        <v>19397.623559322034</v>
      </c>
      <c r="G5" s="369">
        <f>SUM(P__!P28)</f>
        <v>31437.952110091741</v>
      </c>
      <c r="H5" s="6">
        <f>SUM(P__!Q28)</f>
        <v>37726.620416666665</v>
      </c>
      <c r="I5" s="6">
        <f>SUM(P__!R28)</f>
        <v>17228.571428571428</v>
      </c>
      <c r="J5" s="7">
        <v>1802</v>
      </c>
      <c r="K5" s="19">
        <f>RANK(G5,$G$4:$G$25,1)+COUNTIF($G$4:G5,G5)-1</f>
        <v>17</v>
      </c>
      <c r="L5" s="18" t="str">
        <f>INDEX(B4:I25,MATCH(2,K4:K25,0),1)</f>
        <v>Mielec</v>
      </c>
      <c r="M5" s="6">
        <f>INDEX(B4:I25,MATCH(2,K4:K25,0),6)</f>
        <v>20844.939906542055</v>
      </c>
    </row>
    <row r="6" spans="1:13" x14ac:dyDescent="0.25">
      <c r="A6" s="16">
        <v>3</v>
      </c>
      <c r="B6" s="7" t="s">
        <v>75</v>
      </c>
      <c r="C6" s="6">
        <f>SUM(P__!L29)</f>
        <v>14942.120753768842</v>
      </c>
      <c r="D6" s="6">
        <f>SUM(P__!M29)</f>
        <v>10251.5</v>
      </c>
      <c r="E6" s="6">
        <f>SUM(P__!N29)</f>
        <v>7773.3001265822777</v>
      </c>
      <c r="F6" s="6">
        <f>SUMIF(P__!O29,"&gt;1",(P__!O29))</f>
        <v>17579.073333333334</v>
      </c>
      <c r="G6" s="369">
        <f>SUM(P__!P29)</f>
        <v>24094.089739130432</v>
      </c>
      <c r="H6" s="6">
        <f>SUM(P__!Q29)</f>
        <v>40966.443478260873</v>
      </c>
      <c r="I6" s="6">
        <f>SUM(P__!R29)</f>
        <v>11734.375</v>
      </c>
      <c r="J6" s="7">
        <v>1803</v>
      </c>
      <c r="K6" s="19">
        <f>RANK(G6,$G$4:$G$25,1)+COUNTIF($G$4:G6,G6)-1</f>
        <v>6</v>
      </c>
      <c r="L6" s="18" t="str">
        <f>INDEX(B4:I25,MATCH(3,K4:K25,0),1)</f>
        <v>Stalowa Wola</v>
      </c>
      <c r="M6" s="6">
        <f>INDEX(B4:I25,MATCH(3,K4:K25,0),6)</f>
        <v>22324.325232558138</v>
      </c>
    </row>
    <row r="7" spans="1:13" x14ac:dyDescent="0.25">
      <c r="A7" s="16">
        <v>4</v>
      </c>
      <c r="B7" s="7" t="s">
        <v>76</v>
      </c>
      <c r="C7" s="6">
        <f>SUM(P__!L30)</f>
        <v>13379.878502994012</v>
      </c>
      <c r="D7" s="6">
        <f>SUM(P__!M30)</f>
        <v>10438.48</v>
      </c>
      <c r="E7" s="6">
        <f>SUM(P__!N30)</f>
        <v>9845.926007604563</v>
      </c>
      <c r="F7" s="6">
        <f>SUMIF(P__!O30,"&gt;1",(P__!O30))</f>
        <v>18301.619774436091</v>
      </c>
      <c r="G7" s="369">
        <f>SUM(P__!P30)</f>
        <v>31538.182136752137</v>
      </c>
      <c r="H7" s="6">
        <f>SUM(P__!Q30)</f>
        <v>45659.340540540536</v>
      </c>
      <c r="I7" s="6">
        <f>SUM(P__!R30)</f>
        <v>13770.712608695652</v>
      </c>
      <c r="J7" s="7">
        <v>1804</v>
      </c>
      <c r="K7" s="19">
        <f>RANK(G7,$G$4:$G$25,1)+COUNTIF($G$4:G7,G7)-1</f>
        <v>18</v>
      </c>
      <c r="L7" s="18" t="str">
        <f>INDEX(B4:I25,MATCH(4,K4:K25,0),1)</f>
        <v>Przemyśl</v>
      </c>
      <c r="M7" s="6">
        <f>INDEX(B4:I25,MATCH(4,K4:K25,0),6)</f>
        <v>22824.840641025643</v>
      </c>
    </row>
    <row r="8" spans="1:13" x14ac:dyDescent="0.25">
      <c r="A8" s="16">
        <v>5</v>
      </c>
      <c r="B8" s="7" t="s">
        <v>77</v>
      </c>
      <c r="C8" s="6">
        <f>SUM(P__!L31)</f>
        <v>12778.869616613418</v>
      </c>
      <c r="D8" s="6">
        <f>SUM(P__!M31)</f>
        <v>11194.186874999999</v>
      </c>
      <c r="E8" s="6">
        <f>SUM(P__!N31)</f>
        <v>9807.594794520548</v>
      </c>
      <c r="F8" s="6">
        <f>SUMIF(P__!O31,"&gt;1",(P__!O31))</f>
        <v>14134.019583333335</v>
      </c>
      <c r="G8" s="369">
        <f>SUM(P__!P31)</f>
        <v>25059.573243243241</v>
      </c>
      <c r="H8" s="6">
        <f>SUM(P__!Q31)</f>
        <v>82121.770769230774</v>
      </c>
      <c r="I8" s="6">
        <f>SUM(P__!R31)</f>
        <v>16382.142857142857</v>
      </c>
      <c r="J8" s="7">
        <v>1805</v>
      </c>
      <c r="K8" s="19">
        <f>RANK(G8,$G$4:$G$25,1)+COUNTIF($G$4:G8,G8)-1</f>
        <v>7</v>
      </c>
      <c r="L8" s="18" t="str">
        <f>INDEX(B4:I25,MATCH(5,K4:K25,0),1)</f>
        <v>Krosno</v>
      </c>
      <c r="M8" s="6">
        <f>INDEX(B4:I25,MATCH(5,K4:K25,0),6)</f>
        <v>23694.158785046729</v>
      </c>
    </row>
    <row r="9" spans="1:13" x14ac:dyDescent="0.25">
      <c r="A9" s="16">
        <v>6</v>
      </c>
      <c r="B9" s="7" t="s">
        <v>78</v>
      </c>
      <c r="C9" s="6">
        <f>SUM(P__!L32)</f>
        <v>11641.389814814815</v>
      </c>
      <c r="D9" s="6">
        <f>SUM(P__!M32)</f>
        <v>9158.8448275862065</v>
      </c>
      <c r="E9" s="6">
        <f>SUM(P__!N32)</f>
        <v>5263.067345132743</v>
      </c>
      <c r="F9" s="6">
        <f>SUMIF(P__!O32,"&gt;1",(P__!O32))</f>
        <v>18504.820666666667</v>
      </c>
      <c r="G9" s="369">
        <f>SUM(P__!P32)</f>
        <v>29455.622950819674</v>
      </c>
      <c r="H9" s="6">
        <f>SUM(P__!Q32)</f>
        <v>50004.321951219514</v>
      </c>
      <c r="I9" s="6">
        <f>SUM(P__!R32)</f>
        <v>15000</v>
      </c>
      <c r="J9" s="7">
        <v>1806</v>
      </c>
      <c r="K9" s="19">
        <f>RANK(G9,$G$4:$G$25,1)+COUNTIF($G$4:G9,G9)-1</f>
        <v>14</v>
      </c>
      <c r="L9" s="18" t="str">
        <f>INDEX(B4:I25,MATCH(6,K4:K25,0),1)</f>
        <v>Dębica</v>
      </c>
      <c r="M9" s="6">
        <f>INDEX(B4:I25,MATCH(6,K4:K25,0),6)</f>
        <v>24094.089739130432</v>
      </c>
    </row>
    <row r="10" spans="1:13" x14ac:dyDescent="0.25">
      <c r="A10" s="218">
        <v>7</v>
      </c>
      <c r="B10" s="219" t="s">
        <v>79</v>
      </c>
      <c r="C10" s="215">
        <f>SUM(P__!L33)</f>
        <v>12553.818190954773</v>
      </c>
      <c r="D10" s="215">
        <f>SUM(P__!M33)</f>
        <v>8620.3804166666669</v>
      </c>
      <c r="E10" s="215">
        <f>SUM(P__!N33)</f>
        <v>6423.7599999999993</v>
      </c>
      <c r="F10" s="215">
        <f>SUMIF(P__!O33,"&gt;1",(P__!O33))</f>
        <v>7991.192222222222</v>
      </c>
      <c r="G10" s="370">
        <f>SUM(P__!P33)</f>
        <v>23694.158785046729</v>
      </c>
      <c r="H10" s="215">
        <f>SUM(P__!Q33)</f>
        <v>54219.033389830511</v>
      </c>
      <c r="I10" s="215">
        <f>SUM(P__!R33)</f>
        <v>8435.8974358974356</v>
      </c>
      <c r="J10" s="219" t="s">
        <v>143</v>
      </c>
      <c r="K10" s="19">
        <f>RANK(G10,$G$4:$G$25,1)+COUNTIF($G$4:G10,G10)-1</f>
        <v>5</v>
      </c>
      <c r="L10" s="18" t="str">
        <f>INDEX(B4:I25,MATCH(7,K4:K25,0),1)</f>
        <v>Jasło</v>
      </c>
      <c r="M10" s="6">
        <f>INDEX(B4:I25,MATCH(7,K4:K25,0),6)</f>
        <v>25059.573243243241</v>
      </c>
    </row>
    <row r="11" spans="1:13" x14ac:dyDescent="0.25">
      <c r="A11" s="16">
        <v>8</v>
      </c>
      <c r="B11" s="7" t="s">
        <v>80</v>
      </c>
      <c r="C11" s="6">
        <f>SUM(P__!L35)</f>
        <v>12980.238530701754</v>
      </c>
      <c r="D11" s="6">
        <f>SUM(P__!M35)</f>
        <v>11343.624054054055</v>
      </c>
      <c r="E11" s="6">
        <f>SUM(P__!N35)</f>
        <v>9549.6243902439019</v>
      </c>
      <c r="F11" s="6">
        <f>SUMIF(P__!O35,"&gt;1",(P__!O35))</f>
        <v>13031.564930555556</v>
      </c>
      <c r="G11" s="369">
        <f>SUM(P__!P35)</f>
        <v>28104.513513513513</v>
      </c>
      <c r="H11" s="6">
        <f>SUM(P__!Q35)</f>
        <v>110291.49571428572</v>
      </c>
      <c r="I11" s="6">
        <f>SUM(P__!R35)</f>
        <v>10323.529411764706</v>
      </c>
      <c r="J11" s="7">
        <v>1808</v>
      </c>
      <c r="K11" s="19">
        <f>RANK(G11,$G$4:$G$25,1)+COUNTIF($G$4:G11,G11)-1</f>
        <v>11</v>
      </c>
      <c r="L11" s="154" t="str">
        <f>INDEX(B4:I25,MATCH(8,K4:K25,0),1)</f>
        <v>Sanok</v>
      </c>
      <c r="M11" s="22">
        <f>INDEX(B4:I25,MATCH(8,K4:K25,0),6)</f>
        <v>25636.279687499999</v>
      </c>
    </row>
    <row r="12" spans="1:13" x14ac:dyDescent="0.25">
      <c r="A12" s="16">
        <v>9</v>
      </c>
      <c r="B12" s="7" t="s">
        <v>81</v>
      </c>
      <c r="C12" s="6">
        <f>SUM(P__!L36)</f>
        <v>12888.656102941177</v>
      </c>
      <c r="D12" s="6">
        <f>SUM(P__!M36)</f>
        <v>10973.99</v>
      </c>
      <c r="E12" s="6">
        <f>SUM(P__!N36)</f>
        <v>9369.1174193548377</v>
      </c>
      <c r="F12" s="6">
        <f>SUMIF(P__!O36,"&gt;1",(P__!O36))</f>
        <v>16346.299629629631</v>
      </c>
      <c r="G12" s="369">
        <f>SUM(P__!P36)</f>
        <v>27988.132931034481</v>
      </c>
      <c r="H12" s="216">
        <f>SUMIF(P__!Q36,"&gt;1",(P__!Q36))</f>
        <v>0</v>
      </c>
      <c r="I12" s="6">
        <f>SUMIF(P__!R36,"&gt;1",(P__!R36))</f>
        <v>9749.8708139534883</v>
      </c>
      <c r="J12" s="7">
        <v>1809</v>
      </c>
      <c r="K12" s="19">
        <f>RANK(G12,$G$4:$G$25,1)+COUNTIF($G$4:G12,G12)-1</f>
        <v>10</v>
      </c>
      <c r="L12" s="18" t="str">
        <f>INDEX(B4:I25,MATCH(9,K4:K25,0),1)</f>
        <v>Nisko</v>
      </c>
      <c r="M12" s="6">
        <f>INDEX(B4:I25,MATCH(9,K4:K25,0),6)</f>
        <v>25669.014084507042</v>
      </c>
    </row>
    <row r="13" spans="1:13" x14ac:dyDescent="0.25">
      <c r="A13" s="16">
        <v>10</v>
      </c>
      <c r="B13" s="7" t="s">
        <v>82</v>
      </c>
      <c r="C13" s="6">
        <f>SUM(P__!L37)</f>
        <v>15085.837870036099</v>
      </c>
      <c r="D13" s="6">
        <f>SUM(P__!M37)</f>
        <v>12609.18</v>
      </c>
      <c r="E13" s="6">
        <f>SUM(P__!N37)</f>
        <v>8129.4257516339867</v>
      </c>
      <c r="F13" s="6">
        <f>SUMIF(P__!O37,"&gt;1",(P__!O37))</f>
        <v>17523.310650406504</v>
      </c>
      <c r="G13" s="369">
        <f>SUM(P__!P37)</f>
        <v>31102.884615384617</v>
      </c>
      <c r="H13" s="6">
        <f>SUM(P__!Q37)</f>
        <v>37687.5</v>
      </c>
      <c r="I13" s="6">
        <f>SUM(P__!R37)</f>
        <v>8489.3617021276605</v>
      </c>
      <c r="J13" s="7">
        <v>1810</v>
      </c>
      <c r="K13" s="19">
        <f>RANK(G13,$G$4:$G$25,1)+COUNTIF($G$4:G13,G13)-1</f>
        <v>16</v>
      </c>
      <c r="L13" s="220" t="str">
        <f>INDEX(B4:I25,MATCH(10,K4:K25,0),1)</f>
        <v>Lubaczów</v>
      </c>
      <c r="M13" s="216">
        <f>INDEX(B4:I25,MATCH(10,K4:K25,0),6)</f>
        <v>27988.132931034481</v>
      </c>
    </row>
    <row r="14" spans="1:13" x14ac:dyDescent="0.25">
      <c r="A14" s="16">
        <v>11</v>
      </c>
      <c r="B14" s="7" t="s">
        <v>83</v>
      </c>
      <c r="C14" s="6">
        <f>SUM(P__!L38)</f>
        <v>8961.8028623188402</v>
      </c>
      <c r="D14" s="6">
        <f>SUM(P__!M38)</f>
        <v>4585.1477777777782</v>
      </c>
      <c r="E14" s="6">
        <f>SUM(P__!N38)</f>
        <v>7577.0269194312796</v>
      </c>
      <c r="F14" s="6">
        <f>SUMIF(P__!O38,"&gt;1",(P__!O38))</f>
        <v>11377.817031250001</v>
      </c>
      <c r="G14" s="369">
        <f>SUM(P__!P38)</f>
        <v>20844.939906542055</v>
      </c>
      <c r="H14" s="6">
        <f>SUM(P__!Q38)</f>
        <v>38286.187350427346</v>
      </c>
      <c r="I14" s="6">
        <f>SUM(P__!R38)</f>
        <v>8000</v>
      </c>
      <c r="J14" s="7">
        <v>1811</v>
      </c>
      <c r="K14" s="153">
        <f>RANK(G14,$G$4:$G$25,1)+COUNTIF($G$4:G14,G14)-1</f>
        <v>2</v>
      </c>
      <c r="L14" s="154" t="str">
        <f>INDEX(B4:I25,MATCH(11,K4:K25,0),1)</f>
        <v>Leżajsk</v>
      </c>
      <c r="M14" s="22">
        <f>INDEX(B4:I25,MATCH(11,K4:K25,0),6)</f>
        <v>28104.513513513513</v>
      </c>
    </row>
    <row r="15" spans="1:13" x14ac:dyDescent="0.25">
      <c r="A15" s="16">
        <v>12</v>
      </c>
      <c r="B15" s="7" t="s">
        <v>84</v>
      </c>
      <c r="C15" s="6">
        <f>SUM(P__!L39)</f>
        <v>14570.84357827476</v>
      </c>
      <c r="D15" s="6">
        <f>SUM(P__!M39)</f>
        <v>15438.321538461538</v>
      </c>
      <c r="E15" s="6">
        <f>SUM(P__!N39)</f>
        <v>8099.6970550161814</v>
      </c>
      <c r="F15" s="6">
        <f>SUMIF(P__!O39,"&gt;1",(P__!O39))</f>
        <v>21828.017884615383</v>
      </c>
      <c r="G15" s="369">
        <f>SUM(P__!P39)</f>
        <v>25669.014084507042</v>
      </c>
      <c r="H15" s="6">
        <f>SUM(P__!Q39)</f>
        <v>65243.697428571431</v>
      </c>
      <c r="I15" s="6">
        <f>SUM(P__!R39)</f>
        <v>14850</v>
      </c>
      <c r="J15" s="7">
        <v>1812</v>
      </c>
      <c r="K15" s="19">
        <f>RANK(G15,$G$4:$G$25,1)+COUNTIF($G$4:G15,G15)-1</f>
        <v>9</v>
      </c>
      <c r="L15" s="18" t="str">
        <f>INDEX(B4:I25,MATCH(12,K4:K25,0),1)</f>
        <v>Ropczyce</v>
      </c>
      <c r="M15" s="6">
        <f>INDEX(B4:I25,MATCH(12,K4:K25,0),6)</f>
        <v>29123.921538461538</v>
      </c>
    </row>
    <row r="16" spans="1:13" x14ac:dyDescent="0.25">
      <c r="A16" s="16">
        <v>13</v>
      </c>
      <c r="B16" s="7" t="s">
        <v>85</v>
      </c>
      <c r="C16" s="6">
        <f>SUM(P__!L40)</f>
        <v>15573.837295454547</v>
      </c>
      <c r="D16" s="6">
        <f>SUM(P__!M40)</f>
        <v>8368.0500000000011</v>
      </c>
      <c r="E16" s="6">
        <f>SUM(P__!N40)</f>
        <v>9730.7848496240604</v>
      </c>
      <c r="F16" s="6">
        <f>SUMIF(P__!O40,"&gt;1",(P__!O40))</f>
        <v>22787.972302158272</v>
      </c>
      <c r="G16" s="369">
        <f>SUM(P__!P40)</f>
        <v>33022.659577464787</v>
      </c>
      <c r="H16" s="6">
        <f>SUM(P__!Q40)</f>
        <v>41252.479767441859</v>
      </c>
      <c r="I16" s="6">
        <f>SUM(P__!R40)</f>
        <v>9086.95652173913</v>
      </c>
      <c r="J16" s="7">
        <v>1814</v>
      </c>
      <c r="K16" s="20">
        <f>RANK(G16,$G$4:$G$25,1)+COUNTIF($G$4:G16,G16)-1</f>
        <v>19</v>
      </c>
      <c r="L16" s="21" t="str">
        <f>INDEX(B4:I25,MATCH(13,K4:K25,0),1)</f>
        <v>Podkarpacie</v>
      </c>
      <c r="M16" s="6">
        <f>INDEX(B4:I25,MATCH(13,K4:K25,0),6)</f>
        <v>29182.742895805139</v>
      </c>
    </row>
    <row r="17" spans="1:13" x14ac:dyDescent="0.25">
      <c r="A17" s="16">
        <v>14</v>
      </c>
      <c r="B17" s="7" t="s">
        <v>86</v>
      </c>
      <c r="C17" s="6">
        <f>SUM(P__!L41)</f>
        <v>12915.99174796748</v>
      </c>
      <c r="D17" s="6">
        <f>SUM(P__!M41)</f>
        <v>8160.9958823529405</v>
      </c>
      <c r="E17" s="6">
        <f>SUM(P__!N41)</f>
        <v>10445.929351851853</v>
      </c>
      <c r="F17" s="6">
        <f>SUMIF(P__!O41,"&gt;1",(P__!O41))</f>
        <v>20292.108787878788</v>
      </c>
      <c r="G17" s="369">
        <f>SUM(P__!P41)</f>
        <v>29123.921538461538</v>
      </c>
      <c r="H17" s="6">
        <f>SUM(P__!Q41)</f>
        <v>40850.424109589039</v>
      </c>
      <c r="I17" s="6">
        <f>SUM(P__!R41)</f>
        <v>5888.8888888888887</v>
      </c>
      <c r="J17" s="7">
        <v>1815</v>
      </c>
      <c r="K17" s="20">
        <f>RANK(G17,$G$4:$G$25,1)+COUNTIF($G$4:G17,G17)-1</f>
        <v>12</v>
      </c>
      <c r="L17" s="21" t="str">
        <f>INDEX(B4:I25,MATCH(14,K4:K25,0),1)</f>
        <v>Kolbuszowa</v>
      </c>
      <c r="M17" s="6">
        <f>INDEX(B4:I25,MATCH(14,K4:K25,0),6)</f>
        <v>29455.622950819674</v>
      </c>
    </row>
    <row r="18" spans="1:13" x14ac:dyDescent="0.25">
      <c r="A18" s="218">
        <v>15</v>
      </c>
      <c r="B18" s="219" t="s">
        <v>87</v>
      </c>
      <c r="C18" s="215">
        <f>SUM(P__!L43)</f>
        <v>11904.609334389857</v>
      </c>
      <c r="D18" s="215">
        <f>SUM(P__!M43)</f>
        <v>2739.4103448275864</v>
      </c>
      <c r="E18" s="215">
        <f>SUM(P__!N43)</f>
        <v>10371.263699633701</v>
      </c>
      <c r="F18" s="215">
        <f>SUMIF(P__!O43,"&gt;1",(P__!O43))</f>
        <v>21381.615312500002</v>
      </c>
      <c r="G18" s="370">
        <f>SUM(P__!P43)</f>
        <v>49685.009080459771</v>
      </c>
      <c r="H18" s="215">
        <f>SUM(P__!Q43)</f>
        <v>74903.813303571427</v>
      </c>
      <c r="I18" s="215">
        <f>SUM(P__!R43)</f>
        <v>11535.76390625</v>
      </c>
      <c r="J18" s="219" t="s">
        <v>145</v>
      </c>
      <c r="K18" s="16">
        <f>RANK(G18,$G$4:$G$25,1)+COUNTIF($G$4:G18,G18)-1</f>
        <v>22</v>
      </c>
      <c r="L18" s="7" t="str">
        <f>INDEX(B4:I25,MATCH(15,K4:K25,0),1)</f>
        <v>Ustrzyki Dolne</v>
      </c>
      <c r="M18" s="6">
        <f>INDEX(B4:I25,MATCH(15,K4:K25,0),6)</f>
        <v>29999.74672727273</v>
      </c>
    </row>
    <row r="19" spans="1:13" x14ac:dyDescent="0.25">
      <c r="A19" s="16">
        <v>16</v>
      </c>
      <c r="B19" s="7" t="s">
        <v>88</v>
      </c>
      <c r="C19" s="6">
        <f>SUM(P__!L44)</f>
        <v>12328.4198125</v>
      </c>
      <c r="D19" s="6">
        <f>SUM(P__!M44)</f>
        <v>8388.8655223880596</v>
      </c>
      <c r="E19" s="6">
        <f>SUM(P__!N44)</f>
        <v>7298.9246111111106</v>
      </c>
      <c r="F19" s="6">
        <f>SUMIF(P__!O44,"&gt;1",(P__!O44))</f>
        <v>10000.877894736841</v>
      </c>
      <c r="G19" s="369">
        <f>SUM(P__!P44)</f>
        <v>25636.279687499999</v>
      </c>
      <c r="H19" s="6">
        <f>SUM(P__!Q44)</f>
        <v>47949.561836734691</v>
      </c>
      <c r="I19" s="6">
        <f>SUM(P__!R44)</f>
        <v>9954.5555555555547</v>
      </c>
      <c r="J19" s="7">
        <v>1817</v>
      </c>
      <c r="K19" s="16">
        <f>RANK(G19,$G$4:$G$25,1)+COUNTIF($G$4:G19,G19)-1</f>
        <v>8</v>
      </c>
      <c r="L19" s="7" t="str">
        <f>INDEX(B4:I25,MATCH(16,K4:K25,0),1)</f>
        <v>Łańcut</v>
      </c>
      <c r="M19" s="6">
        <f>INDEX(B4:I25,MATCH(16,K4:K25,0),6)</f>
        <v>31102.884615384617</v>
      </c>
    </row>
    <row r="20" spans="1:13" x14ac:dyDescent="0.25">
      <c r="A20" s="16">
        <v>17</v>
      </c>
      <c r="B20" s="7" t="s">
        <v>89</v>
      </c>
      <c r="C20" s="6">
        <f>SUM(P__!L45)</f>
        <v>13350.010120967741</v>
      </c>
      <c r="D20" s="6">
        <f>SUM(P__!M45)</f>
        <v>3372.0714150943395</v>
      </c>
      <c r="E20" s="6">
        <f>SUM(P__!N45)</f>
        <v>9714.0203846153836</v>
      </c>
      <c r="F20" s="6">
        <f>SUMIF(P__!O45,"&gt;1",(P__!O45))</f>
        <v>17629.1836</v>
      </c>
      <c r="G20" s="369">
        <f>SUM(P__!P45)</f>
        <v>22324.325232558138</v>
      </c>
      <c r="H20" s="6">
        <f>SUM(P__!Q45)</f>
        <v>58375.379230769235</v>
      </c>
      <c r="I20" s="6">
        <f>SUM(P__!R45)</f>
        <v>8169.3208823529403</v>
      </c>
      <c r="J20" s="7">
        <v>1818</v>
      </c>
      <c r="K20" s="16">
        <f>RANK(G20,$G$4:$G$25,1)+COUNTIF($G$4:G20,G20)-1</f>
        <v>3</v>
      </c>
      <c r="L20" s="7" t="str">
        <f>INDEX(B4:I25,MATCH(17,K4:K25,0),1)</f>
        <v>Brzozów</v>
      </c>
      <c r="M20" s="6">
        <f>INDEX(B4:I25,MATCH(17,K4:K25,0),6)</f>
        <v>31437.952110091741</v>
      </c>
    </row>
    <row r="21" spans="1:13" x14ac:dyDescent="0.25">
      <c r="A21" s="16">
        <v>18</v>
      </c>
      <c r="B21" s="7" t="s">
        <v>90</v>
      </c>
      <c r="C21" s="6">
        <f>SUM(P__!L46)</f>
        <v>13442.706183953034</v>
      </c>
      <c r="D21" s="6">
        <f>SUM(P__!M46)</f>
        <v>10985.015333333335</v>
      </c>
      <c r="E21" s="6">
        <f>SUM(P__!N46)</f>
        <v>7578.7800000000007</v>
      </c>
      <c r="F21" s="6">
        <f>SUMIF(P__!O46,"&gt;1",(P__!O46))</f>
        <v>16393.417863247862</v>
      </c>
      <c r="G21" s="369">
        <f>SUM(P__!P46)</f>
        <v>37943.405529411764</v>
      </c>
      <c r="H21" s="6">
        <f>SUM(P__!Q46)</f>
        <v>58952.05169811321</v>
      </c>
      <c r="I21" s="6">
        <f>SUM(P__!R46)</f>
        <v>10722.222222222223</v>
      </c>
      <c r="J21" s="7">
        <v>1819</v>
      </c>
      <c r="K21" s="16">
        <f>RANK(G21,$G$4:$G$25,1)+COUNTIF($G$4:G21,G21)-1</f>
        <v>20</v>
      </c>
      <c r="L21" s="7" t="str">
        <f>INDEX(B4:I25,MATCH(18,K4:K25,0),1)</f>
        <v>Jarosław</v>
      </c>
      <c r="M21" s="6">
        <f>INDEX(B4:I25,MATCH(18,K4:K25,0),6)</f>
        <v>31538.182136752137</v>
      </c>
    </row>
    <row r="22" spans="1:13" x14ac:dyDescent="0.25">
      <c r="A22" s="218">
        <v>19</v>
      </c>
      <c r="B22" s="219" t="s">
        <v>91</v>
      </c>
      <c r="C22" s="215">
        <f>SUM(P__!L47)</f>
        <v>12141.553074074074</v>
      </c>
      <c r="D22" s="215">
        <f>SUM(P__!M47)</f>
        <v>12682.744615384614</v>
      </c>
      <c r="E22" s="215">
        <f>SUM(P__!N47)</f>
        <v>8848.4821249999986</v>
      </c>
      <c r="F22" s="215">
        <f>SUMIF(P__!O47,"&gt;1",(P__!O47))</f>
        <v>15637.929335793357</v>
      </c>
      <c r="G22" s="370">
        <f>SUM(P__!P47)</f>
        <v>19700.752253521125</v>
      </c>
      <c r="H22" s="215">
        <f>SUM(P__!Q47)</f>
        <v>28929.117631578945</v>
      </c>
      <c r="I22" s="215">
        <f>SUM(P__!R47)</f>
        <v>8913.7588888888895</v>
      </c>
      <c r="J22" s="219" t="s">
        <v>146</v>
      </c>
      <c r="K22" s="16">
        <f>RANK(G22,$G$4:$G$25,1)+COUNTIF($G$4:G22,G22)-1</f>
        <v>1</v>
      </c>
      <c r="L22" s="7" t="str">
        <f>INDEX(B4:I25,MATCH(19,K4:K25,0),1)</f>
        <v>Przeworsk</v>
      </c>
      <c r="M22" s="6">
        <f>INDEX(B4:I25,MATCH(19,K4:K25,0),6)</f>
        <v>33022.659577464787</v>
      </c>
    </row>
    <row r="23" spans="1:13" x14ac:dyDescent="0.25">
      <c r="A23" s="16">
        <v>20</v>
      </c>
      <c r="B23" s="7" t="s">
        <v>92</v>
      </c>
      <c r="C23" s="6">
        <f>SUM(P__!L48)</f>
        <v>13395.393404255319</v>
      </c>
      <c r="D23" s="6">
        <f>SUM(P__!M48)</f>
        <v>5553.9644444444448</v>
      </c>
      <c r="E23" s="6">
        <f>SUM(P__!N48)</f>
        <v>5895.8222857142855</v>
      </c>
      <c r="F23" s="6">
        <f>SUMIF(P__!O48,"&gt;1",(P__!O48))</f>
        <v>21436.601666666669</v>
      </c>
      <c r="G23" s="369">
        <f>SUM(P__!P48)</f>
        <v>44073.572068965521</v>
      </c>
      <c r="H23" s="6">
        <f>SUM(P__!Q48)</f>
        <v>127669.182</v>
      </c>
      <c r="I23" s="6">
        <f>SUM(P__!R48)</f>
        <v>14985.714285714286</v>
      </c>
      <c r="J23" s="7">
        <v>1821</v>
      </c>
      <c r="K23" s="16">
        <f>RANK(G23,$G$4:$G$25,1)+COUNTIF($G$4:G23,G23)-1</f>
        <v>21</v>
      </c>
      <c r="L23" s="7" t="str">
        <f>INDEX(B4:I25,MATCH(20,K4:K25,0),1)</f>
        <v>Strzyżów</v>
      </c>
      <c r="M23" s="6">
        <f>INDEX(B4:I25,MATCH(20,K4:K25,0),6)</f>
        <v>37943.405529411764</v>
      </c>
    </row>
    <row r="24" spans="1:13" x14ac:dyDescent="0.25">
      <c r="A24" s="218">
        <v>21</v>
      </c>
      <c r="B24" s="219" t="s">
        <v>97</v>
      </c>
      <c r="C24" s="215">
        <f>SUM(P__!L49)</f>
        <v>13481.052800000001</v>
      </c>
      <c r="D24" s="215">
        <f>SUM(P__!M49)</f>
        <v>8729.228000000001</v>
      </c>
      <c r="E24" s="215">
        <f>SUM(P__!N49)</f>
        <v>11767.826356275304</v>
      </c>
      <c r="F24" s="215">
        <f>SUMIF(P__!O49,"&gt;1",(P__!O49))</f>
        <v>16358.021860465115</v>
      </c>
      <c r="G24" s="370">
        <f>SUM(P__!P49)</f>
        <v>22824.840641025643</v>
      </c>
      <c r="H24" s="215">
        <f>SUM(P__!Q49)</f>
        <v>38564.820476190478</v>
      </c>
      <c r="I24" s="215">
        <f>SUM(P__!R49)</f>
        <v>9857.1428571428569</v>
      </c>
      <c r="J24" s="219" t="s">
        <v>144</v>
      </c>
      <c r="K24" s="16">
        <f>RANK(G24,$G$4:$G$25,1)+COUNTIF($G$4:G24,G24)-1</f>
        <v>4</v>
      </c>
      <c r="L24" s="7" t="str">
        <f>INDEX(B4:I25,MATCH(21,K4:K25,0),1)</f>
        <v>Lesko</v>
      </c>
      <c r="M24" s="6">
        <f>INDEX(B4:I25,MATCH(21,K4:K25,0),6)</f>
        <v>44073.572068965521</v>
      </c>
    </row>
    <row r="25" spans="1:13" x14ac:dyDescent="0.25">
      <c r="A25" s="16">
        <v>22</v>
      </c>
      <c r="B25" s="18" t="s">
        <v>100</v>
      </c>
      <c r="C25" s="6">
        <f>SUM(P__!L50)</f>
        <v>13014.846298394708</v>
      </c>
      <c r="D25" s="6">
        <f>SUM(P__!M50)</f>
        <v>7250.3362483994879</v>
      </c>
      <c r="E25" s="6">
        <f>SUM(P__!N50)</f>
        <v>8721.5238630299427</v>
      </c>
      <c r="F25" s="6">
        <f>SUMIF(P__!O50,"&gt;1",(P__!O50))</f>
        <v>17225.128580246917</v>
      </c>
      <c r="G25" s="369">
        <f>SUM(P__!P50)</f>
        <v>29182.742895805139</v>
      </c>
      <c r="H25" s="6">
        <f>SUM(P__!Q50)</f>
        <v>53083.715462184882</v>
      </c>
      <c r="I25" s="6">
        <f>SUM(P__!R50)</f>
        <v>11216.649255202628</v>
      </c>
      <c r="J25" s="7">
        <v>1800</v>
      </c>
      <c r="K25" s="16">
        <f>RANK(G25,$G$4:$G$25,1)+COUNTIF($G$4:G25,G25)-1</f>
        <v>13</v>
      </c>
      <c r="L25" s="7" t="str">
        <f>INDEX(B4:I25,MATCH(22,K4:K25,0),1)</f>
        <v>Rzeszów</v>
      </c>
      <c r="M25" s="6">
        <f>INDEX(B4:I25,MATCH(22,K4:K25,0),6)</f>
        <v>49685.009080459771</v>
      </c>
    </row>
    <row r="26" spans="1:13" x14ac:dyDescent="0.25">
      <c r="B26" s="10"/>
      <c r="C26" s="10">
        <v>1</v>
      </c>
      <c r="D26" s="10">
        <v>2</v>
      </c>
      <c r="E26" s="10">
        <v>3</v>
      </c>
      <c r="F26" s="10">
        <v>4</v>
      </c>
      <c r="G26" s="10">
        <v>5</v>
      </c>
      <c r="H26" s="10">
        <v>6</v>
      </c>
      <c r="I26" s="10">
        <v>7</v>
      </c>
    </row>
    <row r="27" spans="1:13" x14ac:dyDescent="0.25">
      <c r="A27" s="16">
        <v>1</v>
      </c>
      <c r="B27" s="17" t="s">
        <v>1</v>
      </c>
      <c r="C27" s="15" t="s">
        <v>152</v>
      </c>
    </row>
    <row r="28" spans="1:13" x14ac:dyDescent="0.25">
      <c r="A28" s="16">
        <v>2</v>
      </c>
      <c r="B28" s="17" t="s">
        <v>2</v>
      </c>
      <c r="C28" s="15" t="s">
        <v>152</v>
      </c>
    </row>
    <row r="29" spans="1:13" x14ac:dyDescent="0.25">
      <c r="A29" s="16">
        <v>3</v>
      </c>
      <c r="B29" s="17" t="s">
        <v>3</v>
      </c>
      <c r="C29" s="15" t="s">
        <v>152</v>
      </c>
    </row>
    <row r="30" spans="1:13" x14ac:dyDescent="0.25">
      <c r="A30" s="16">
        <v>4</v>
      </c>
      <c r="B30" s="17" t="s">
        <v>4</v>
      </c>
      <c r="C30" s="15" t="s">
        <v>152</v>
      </c>
    </row>
    <row r="31" spans="1:13" x14ac:dyDescent="0.25">
      <c r="A31" s="348">
        <v>5</v>
      </c>
      <c r="B31" s="368" t="s">
        <v>16</v>
      </c>
      <c r="C31" s="15" t="s">
        <v>152</v>
      </c>
    </row>
    <row r="32" spans="1:13" x14ac:dyDescent="0.25">
      <c r="A32" s="16">
        <v>6</v>
      </c>
      <c r="B32" s="17" t="s">
        <v>17</v>
      </c>
      <c r="C32" s="15" t="s">
        <v>152</v>
      </c>
    </row>
    <row r="33" spans="1:3" x14ac:dyDescent="0.25">
      <c r="A33" s="16">
        <v>7</v>
      </c>
      <c r="B33" s="17" t="s">
        <v>11</v>
      </c>
      <c r="C33" s="15" t="s">
        <v>152</v>
      </c>
    </row>
  </sheetData>
  <sortState xmlns:xlrd2="http://schemas.microsoft.com/office/spreadsheetml/2017/richdata2" ref="A4:H25">
    <sortCondition ref="G4:G25"/>
  </sortState>
  <pageMargins left="0.7" right="0.7" top="0.75" bottom="0.75" header="0.3" footer="0.3"/>
  <pageSetup paperSize="9" scale="54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Arkusz23">
    <tabColor rgb="FFFF9900"/>
    <pageSetUpPr fitToPage="1"/>
  </sheetPr>
  <dimension ref="A1:M33"/>
  <sheetViews>
    <sheetView zoomScale="90" zoomScaleNormal="90" workbookViewId="0"/>
  </sheetViews>
  <sheetFormatPr defaultRowHeight="15" x14ac:dyDescent="0.25"/>
  <cols>
    <col min="1" max="1" width="5.140625" style="15" customWidth="1"/>
    <col min="2" max="2" width="13.42578125" style="15" customWidth="1"/>
    <col min="3" max="3" width="14.7109375" style="15" customWidth="1"/>
    <col min="4" max="4" width="13.28515625" style="15" customWidth="1"/>
    <col min="5" max="5" width="12.5703125" style="15" customWidth="1"/>
    <col min="6" max="6" width="13.28515625" style="15" customWidth="1"/>
    <col min="7" max="9" width="13" style="15" customWidth="1"/>
    <col min="10" max="10" width="11" style="10" customWidth="1"/>
    <col min="11" max="11" width="7.28515625" style="10" customWidth="1"/>
    <col min="12" max="12" width="14.42578125" style="10" customWidth="1"/>
    <col min="13" max="13" width="11.5703125" style="15" customWidth="1"/>
    <col min="14" max="16384" width="9.140625" style="15"/>
  </cols>
  <sheetData>
    <row r="1" spans="1:13" x14ac:dyDescent="0.25">
      <c r="A1" s="15" t="s">
        <v>142</v>
      </c>
    </row>
    <row r="2" spans="1:13" x14ac:dyDescent="0.25">
      <c r="A2" s="15" t="s">
        <v>326</v>
      </c>
    </row>
    <row r="3" spans="1:13" x14ac:dyDescent="0.25">
      <c r="A3" s="348">
        <f>SUM(P__!K26)</f>
        <v>2021</v>
      </c>
      <c r="B3" s="368" t="s">
        <v>101</v>
      </c>
      <c r="C3" s="348" t="s">
        <v>136</v>
      </c>
      <c r="D3" s="348" t="s">
        <v>135</v>
      </c>
      <c r="E3" s="348" t="s">
        <v>149</v>
      </c>
      <c r="F3" s="348" t="s">
        <v>139</v>
      </c>
      <c r="G3" s="348" t="s">
        <v>150</v>
      </c>
      <c r="H3" s="348" t="s">
        <v>148</v>
      </c>
      <c r="I3" s="348" t="s">
        <v>299</v>
      </c>
      <c r="J3" s="16"/>
      <c r="K3" s="16" t="s">
        <v>71</v>
      </c>
      <c r="L3" s="16" t="s">
        <v>151</v>
      </c>
      <c r="M3" s="43" t="s">
        <v>147</v>
      </c>
    </row>
    <row r="4" spans="1:13" x14ac:dyDescent="0.25">
      <c r="A4" s="16">
        <v>1</v>
      </c>
      <c r="B4" s="7" t="s">
        <v>73</v>
      </c>
      <c r="C4" s="6">
        <f>SUM(P__!L27)</f>
        <v>13681.669927536232</v>
      </c>
      <c r="D4" s="6">
        <f>SUM(P__!M27)</f>
        <v>11344.465</v>
      </c>
      <c r="E4" s="6">
        <f>SUM(P__!N27)</f>
        <v>6614.1498000000001</v>
      </c>
      <c r="F4" s="6">
        <f>SUMIF(P__!O27,"&gt;1",(P__!O27))</f>
        <v>19526.167142857146</v>
      </c>
      <c r="G4" s="6">
        <f>SUMIF(P__!P27,"&gt;1",(P__!P27))</f>
        <v>29999.74672727273</v>
      </c>
      <c r="H4" s="369">
        <f>SUMIF(P__!Q27,"&gt;1",(P__!Q27))</f>
        <v>107142.85714285714</v>
      </c>
      <c r="I4" s="6">
        <f>SUMIF(P__!R27,"&gt;1",(P__!R27))</f>
        <v>18338.249705882354</v>
      </c>
      <c r="J4" s="7">
        <v>1801</v>
      </c>
      <c r="K4" s="19">
        <f>RANK(H4,$H$4:$H$25,1)+COUNTIF($H$4:H4,H4)-1</f>
        <v>20</v>
      </c>
      <c r="L4" s="7" t="str">
        <f>INDEX(B4:I25,MATCH(1,K4:K25,0),1)</f>
        <v>Lubaczów</v>
      </c>
      <c r="M4" s="216">
        <f>INDEX(B4:I25,MATCH(1,K4:K25,0),7)</f>
        <v>0</v>
      </c>
    </row>
    <row r="5" spans="1:13" x14ac:dyDescent="0.25">
      <c r="A5" s="16">
        <v>2</v>
      </c>
      <c r="B5" s="7" t="s">
        <v>74</v>
      </c>
      <c r="C5" s="6">
        <f>SUM(P__!L28)</f>
        <v>15714.401250000001</v>
      </c>
      <c r="D5" s="6">
        <f>SUM(P__!M28)</f>
        <v>8595.8549999999996</v>
      </c>
      <c r="E5" s="6">
        <f>SUM(P__!N28)</f>
        <v>6066.8047530864196</v>
      </c>
      <c r="F5" s="6">
        <f>SUMIF(P__!O28,"&gt;1",(P__!O28))</f>
        <v>19397.623559322034</v>
      </c>
      <c r="G5" s="6">
        <f>SUM(P__!P28)</f>
        <v>31437.952110091741</v>
      </c>
      <c r="H5" s="369">
        <f>SUM(P__!Q28)</f>
        <v>37726.620416666665</v>
      </c>
      <c r="I5" s="6">
        <f>SUM(P__!R28)</f>
        <v>17228.571428571428</v>
      </c>
      <c r="J5" s="7">
        <v>1802</v>
      </c>
      <c r="K5" s="19">
        <f>RANK(H5,$H$4:$H$25,1)+COUNTIF($H$4:H5,H5)-1</f>
        <v>4</v>
      </c>
      <c r="L5" s="18" t="str">
        <f>INDEX(B4:I25,MATCH(2,K4:K25,0),1)</f>
        <v>Tarnobrzeg</v>
      </c>
      <c r="M5" s="6">
        <f>INDEX(B4:I25,MATCH(2,K4:K25,0),7)</f>
        <v>28929.117631578945</v>
      </c>
    </row>
    <row r="6" spans="1:13" x14ac:dyDescent="0.25">
      <c r="A6" s="16">
        <v>3</v>
      </c>
      <c r="B6" s="7" t="s">
        <v>75</v>
      </c>
      <c r="C6" s="6">
        <f>SUM(P__!L29)</f>
        <v>14942.120753768842</v>
      </c>
      <c r="D6" s="6">
        <f>SUM(P__!M29)</f>
        <v>10251.5</v>
      </c>
      <c r="E6" s="6">
        <f>SUM(P__!N29)</f>
        <v>7773.3001265822777</v>
      </c>
      <c r="F6" s="6">
        <f>SUMIF(P__!O29,"&gt;1",(P__!O29))</f>
        <v>17579.073333333334</v>
      </c>
      <c r="G6" s="6">
        <f>SUM(P__!P29)</f>
        <v>24094.089739130432</v>
      </c>
      <c r="H6" s="369">
        <f>SUM(P__!Q29)</f>
        <v>40966.443478260873</v>
      </c>
      <c r="I6" s="6">
        <f>SUM(P__!R29)</f>
        <v>11734.375</v>
      </c>
      <c r="J6" s="7">
        <v>1803</v>
      </c>
      <c r="K6" s="19">
        <f>RANK(H6,$H$4:$H$25,1)+COUNTIF($H$4:H6,H6)-1</f>
        <v>8</v>
      </c>
      <c r="L6" s="18" t="str">
        <f>INDEX(B4:I25,MATCH(3,K4:K25,0),1)</f>
        <v>Łańcut</v>
      </c>
      <c r="M6" s="6">
        <f>INDEX(B4:I25,MATCH(3,K4:K25,0),7)</f>
        <v>37687.5</v>
      </c>
    </row>
    <row r="7" spans="1:13" x14ac:dyDescent="0.25">
      <c r="A7" s="16">
        <v>4</v>
      </c>
      <c r="B7" s="7" t="s">
        <v>76</v>
      </c>
      <c r="C7" s="6">
        <f>SUM(P__!L30)</f>
        <v>13379.878502994012</v>
      </c>
      <c r="D7" s="6">
        <f>SUM(P__!M30)</f>
        <v>10438.48</v>
      </c>
      <c r="E7" s="6">
        <f>SUM(P__!N30)</f>
        <v>9845.926007604563</v>
      </c>
      <c r="F7" s="6">
        <f>SUMIF(P__!O30,"&gt;1",(P__!O30))</f>
        <v>18301.619774436091</v>
      </c>
      <c r="G7" s="6">
        <f>SUM(P__!P30)</f>
        <v>31538.182136752137</v>
      </c>
      <c r="H7" s="369">
        <f>SUM(P__!Q30)</f>
        <v>45659.340540540536</v>
      </c>
      <c r="I7" s="6">
        <f>SUM(P__!R30)</f>
        <v>13770.712608695652</v>
      </c>
      <c r="J7" s="7">
        <v>1804</v>
      </c>
      <c r="K7" s="19">
        <f>RANK(H7,$H$4:$H$25,1)+COUNTIF($H$4:H7,H7)-1</f>
        <v>10</v>
      </c>
      <c r="L7" s="18" t="str">
        <f>INDEX(B4:I25,MATCH(4,K4:K25,0),1)</f>
        <v>Brzozów</v>
      </c>
      <c r="M7" s="6">
        <f>INDEX(B4:I25,MATCH(4,K4:K25,0),7)</f>
        <v>37726.620416666665</v>
      </c>
    </row>
    <row r="8" spans="1:13" x14ac:dyDescent="0.25">
      <c r="A8" s="16">
        <v>5</v>
      </c>
      <c r="B8" s="7" t="s">
        <v>77</v>
      </c>
      <c r="C8" s="6">
        <f>SUM(P__!L31)</f>
        <v>12778.869616613418</v>
      </c>
      <c r="D8" s="6">
        <f>SUM(P__!M31)</f>
        <v>11194.186874999999</v>
      </c>
      <c r="E8" s="6">
        <f>SUM(P__!N31)</f>
        <v>9807.594794520548</v>
      </c>
      <c r="F8" s="6">
        <f>SUMIF(P__!O31,"&gt;1",(P__!O31))</f>
        <v>14134.019583333335</v>
      </c>
      <c r="G8" s="6">
        <f>SUM(P__!P31)</f>
        <v>25059.573243243241</v>
      </c>
      <c r="H8" s="369">
        <f>SUM(P__!Q31)</f>
        <v>82121.770769230774</v>
      </c>
      <c r="I8" s="6">
        <f>SUM(P__!R31)</f>
        <v>16382.142857142857</v>
      </c>
      <c r="J8" s="7">
        <v>1805</v>
      </c>
      <c r="K8" s="19">
        <f>RANK(H8,$H$4:$H$25,1)+COUNTIF($H$4:H8,H8)-1</f>
        <v>19</v>
      </c>
      <c r="L8" s="18" t="str">
        <f>INDEX(B4:I25,MATCH(5,K4:K25,0),1)</f>
        <v>Mielec</v>
      </c>
      <c r="M8" s="6">
        <f>INDEX(B4:I25,MATCH(5,K4:K25,0),7)</f>
        <v>38286.187350427346</v>
      </c>
    </row>
    <row r="9" spans="1:13" x14ac:dyDescent="0.25">
      <c r="A9" s="16">
        <v>6</v>
      </c>
      <c r="B9" s="7" t="s">
        <v>78</v>
      </c>
      <c r="C9" s="6">
        <f>SUM(P__!L32)</f>
        <v>11641.389814814815</v>
      </c>
      <c r="D9" s="6">
        <f>SUM(P__!M32)</f>
        <v>9158.8448275862065</v>
      </c>
      <c r="E9" s="6">
        <f>SUM(P__!N32)</f>
        <v>5263.067345132743</v>
      </c>
      <c r="F9" s="6">
        <f>SUMIF(P__!O32,"&gt;1",(P__!O32))</f>
        <v>18504.820666666667</v>
      </c>
      <c r="G9" s="6">
        <f>SUM(P__!P32)</f>
        <v>29455.622950819674</v>
      </c>
      <c r="H9" s="369">
        <f>SUM(P__!Q32)</f>
        <v>50004.321951219514</v>
      </c>
      <c r="I9" s="6">
        <f>SUM(P__!R32)</f>
        <v>15000</v>
      </c>
      <c r="J9" s="7">
        <v>1806</v>
      </c>
      <c r="K9" s="19">
        <f>RANK(H9,$H$4:$H$25,1)+COUNTIF($H$4:H9,H9)-1</f>
        <v>12</v>
      </c>
      <c r="L9" s="18" t="str">
        <f>INDEX(B4:I25,MATCH(6,K4:K25,0),1)</f>
        <v>Przemyśl</v>
      </c>
      <c r="M9" s="6">
        <f>INDEX(B4:I25,MATCH(6,K4:K25,0),7)</f>
        <v>38564.820476190478</v>
      </c>
    </row>
    <row r="10" spans="1:13" x14ac:dyDescent="0.25">
      <c r="A10" s="218">
        <v>7</v>
      </c>
      <c r="B10" s="219" t="s">
        <v>79</v>
      </c>
      <c r="C10" s="215">
        <f>SUM(P__!L33)</f>
        <v>12553.818190954773</v>
      </c>
      <c r="D10" s="215">
        <f>SUM(P__!M33)</f>
        <v>8620.3804166666669</v>
      </c>
      <c r="E10" s="215">
        <f>SUM(P__!N33)</f>
        <v>6423.7599999999993</v>
      </c>
      <c r="F10" s="215">
        <f>SUMIF(P__!O33,"&gt;1",(P__!O33))</f>
        <v>7991.192222222222</v>
      </c>
      <c r="G10" s="215">
        <f>SUM(P__!P33)</f>
        <v>23694.158785046729</v>
      </c>
      <c r="H10" s="370">
        <f>SUM(P__!Q33)</f>
        <v>54219.033389830511</v>
      </c>
      <c r="I10" s="215">
        <f>SUM(P__!R33)</f>
        <v>8435.8974358974356</v>
      </c>
      <c r="J10" s="219" t="s">
        <v>143</v>
      </c>
      <c r="K10" s="19">
        <f>RANK(H10,$H$4:$H$25,1)+COUNTIF($H$4:H10,H10)-1</f>
        <v>14</v>
      </c>
      <c r="L10" s="18" t="str">
        <f>INDEX(B4:I25,MATCH(7,K4:K25,0),1)</f>
        <v>Ropczyce</v>
      </c>
      <c r="M10" s="6">
        <f>INDEX(B4:I25,MATCH(7,K4:K25,0),7)</f>
        <v>40850.424109589039</v>
      </c>
    </row>
    <row r="11" spans="1:13" x14ac:dyDescent="0.25">
      <c r="A11" s="16">
        <v>8</v>
      </c>
      <c r="B11" s="7" t="s">
        <v>80</v>
      </c>
      <c r="C11" s="6">
        <f>SUM(P__!L35)</f>
        <v>12980.238530701754</v>
      </c>
      <c r="D11" s="6">
        <f>SUM(P__!M35)</f>
        <v>11343.624054054055</v>
      </c>
      <c r="E11" s="6">
        <f>SUM(P__!N35)</f>
        <v>9549.6243902439019</v>
      </c>
      <c r="F11" s="6">
        <f>SUMIF(P__!O35,"&gt;1",(P__!O35))</f>
        <v>13031.564930555556</v>
      </c>
      <c r="G11" s="6">
        <f>SUM(P__!P35)</f>
        <v>28104.513513513513</v>
      </c>
      <c r="H11" s="369">
        <f>SUM(P__!Q35)</f>
        <v>110291.49571428572</v>
      </c>
      <c r="I11" s="6">
        <f>SUM(P__!R35)</f>
        <v>10323.529411764706</v>
      </c>
      <c r="J11" s="7">
        <v>1808</v>
      </c>
      <c r="K11" s="19">
        <f>RANK(H11,$H$4:$H$25,1)+COUNTIF($H$4:H11,H11)-1</f>
        <v>21</v>
      </c>
      <c r="L11" s="18" t="str">
        <f>INDEX(B4:I25,MATCH(8,K4:K25,0),1)</f>
        <v>Dębica</v>
      </c>
      <c r="M11" s="6">
        <f>INDEX(B4:I25,MATCH(8,K4:K25,0),7)</f>
        <v>40966.443478260873</v>
      </c>
    </row>
    <row r="12" spans="1:13" x14ac:dyDescent="0.25">
      <c r="A12" s="16">
        <v>9</v>
      </c>
      <c r="B12" s="7" t="s">
        <v>81</v>
      </c>
      <c r="C12" s="6">
        <f>SUM(P__!L36)</f>
        <v>12888.656102941177</v>
      </c>
      <c r="D12" s="6">
        <f>SUM(P__!M36)</f>
        <v>10973.99</v>
      </c>
      <c r="E12" s="6">
        <f>SUM(P__!N36)</f>
        <v>9369.1174193548377</v>
      </c>
      <c r="F12" s="6">
        <f>SUMIF(P__!O36,"&gt;1",(P__!O36))</f>
        <v>16346.299629629631</v>
      </c>
      <c r="G12" s="6">
        <f>SUM(P__!P36)</f>
        <v>27988.132931034481</v>
      </c>
      <c r="H12" s="356">
        <f>SUMIF(P__!Q36,"&gt;1",(P__!Q36))</f>
        <v>0</v>
      </c>
      <c r="I12" s="6">
        <f>SUMIF(P__!R36,"&gt;1",(P__!R36))</f>
        <v>9749.8708139534883</v>
      </c>
      <c r="J12" s="7">
        <v>1809</v>
      </c>
      <c r="K12" s="19">
        <f>RANK(H12,$H$4:$H$25,1)+COUNTIF($H$4:H12,H12)-1</f>
        <v>1</v>
      </c>
      <c r="L12" s="18" t="str">
        <f>INDEX(B4:I25,MATCH(9,K4:K25,0),1)</f>
        <v>Przeworsk</v>
      </c>
      <c r="M12" s="6">
        <f>INDEX(B4:I25,MATCH(9,K4:K25,0),7)</f>
        <v>41252.479767441859</v>
      </c>
    </row>
    <row r="13" spans="1:13" x14ac:dyDescent="0.25">
      <c r="A13" s="16">
        <v>10</v>
      </c>
      <c r="B13" s="7" t="s">
        <v>82</v>
      </c>
      <c r="C13" s="6">
        <f>SUM(P__!L37)</f>
        <v>15085.837870036099</v>
      </c>
      <c r="D13" s="6">
        <f>SUM(P__!M37)</f>
        <v>12609.18</v>
      </c>
      <c r="E13" s="6">
        <f>SUM(P__!N37)</f>
        <v>8129.4257516339867</v>
      </c>
      <c r="F13" s="6">
        <f>SUMIF(P__!O37,"&gt;1",(P__!O37))</f>
        <v>17523.310650406504</v>
      </c>
      <c r="G13" s="6">
        <f>SUM(P__!P37)</f>
        <v>31102.884615384617</v>
      </c>
      <c r="H13" s="369">
        <f>SUM(P__!Q37)</f>
        <v>37687.5</v>
      </c>
      <c r="I13" s="6">
        <f>SUM(P__!R37)</f>
        <v>8489.3617021276605</v>
      </c>
      <c r="J13" s="7">
        <v>1810</v>
      </c>
      <c r="K13" s="19">
        <f>RANK(H13,$H$4:$H$25,1)+COUNTIF($H$4:H13,H13)-1</f>
        <v>3</v>
      </c>
      <c r="L13" s="220" t="str">
        <f>INDEX(B4:I25,MATCH(10,K4:K25,0),1)</f>
        <v>Jarosław</v>
      </c>
      <c r="M13" s="216">
        <f>INDEX(B4:I25,MATCH(10,K4:K25,0),7)</f>
        <v>45659.340540540536</v>
      </c>
    </row>
    <row r="14" spans="1:13" x14ac:dyDescent="0.25">
      <c r="A14" s="16">
        <v>11</v>
      </c>
      <c r="B14" s="7" t="s">
        <v>83</v>
      </c>
      <c r="C14" s="6">
        <f>SUM(P__!L38)</f>
        <v>8961.8028623188402</v>
      </c>
      <c r="D14" s="6">
        <f>SUM(P__!M38)</f>
        <v>4585.1477777777782</v>
      </c>
      <c r="E14" s="6">
        <f>SUM(P__!N38)</f>
        <v>7577.0269194312796</v>
      </c>
      <c r="F14" s="6">
        <f>SUMIF(P__!O38,"&gt;1",(P__!O38))</f>
        <v>11377.817031250001</v>
      </c>
      <c r="G14" s="6">
        <f>SUM(P__!P38)</f>
        <v>20844.939906542055</v>
      </c>
      <c r="H14" s="369">
        <f>SUM(P__!Q38)</f>
        <v>38286.187350427346</v>
      </c>
      <c r="I14" s="6">
        <f>SUM(P__!R38)</f>
        <v>8000</v>
      </c>
      <c r="J14" s="7">
        <v>1811</v>
      </c>
      <c r="K14" s="153">
        <f>RANK(H14,$H$4:$H$25,1)+COUNTIF($H$4:H14,H14)-1</f>
        <v>5</v>
      </c>
      <c r="L14" s="18" t="str">
        <f>INDEX(B4:I25,MATCH(11,K4:K25,0),1)</f>
        <v>Sanok</v>
      </c>
      <c r="M14" s="6">
        <f>INDEX(B4:I25,MATCH(11,K4:K25,0),7)</f>
        <v>47949.561836734691</v>
      </c>
    </row>
    <row r="15" spans="1:13" x14ac:dyDescent="0.25">
      <c r="A15" s="16">
        <v>12</v>
      </c>
      <c r="B15" s="7" t="s">
        <v>84</v>
      </c>
      <c r="C15" s="6">
        <f>SUM(P__!L39)</f>
        <v>14570.84357827476</v>
      </c>
      <c r="D15" s="6">
        <f>SUM(P__!M39)</f>
        <v>15438.321538461538</v>
      </c>
      <c r="E15" s="6">
        <f>SUM(P__!N39)</f>
        <v>8099.6970550161814</v>
      </c>
      <c r="F15" s="6">
        <f>SUMIF(P__!O39,"&gt;1",(P__!O39))</f>
        <v>21828.017884615383</v>
      </c>
      <c r="G15" s="6">
        <f>SUM(P__!P39)</f>
        <v>25669.014084507042</v>
      </c>
      <c r="H15" s="369">
        <f>SUM(P__!Q39)</f>
        <v>65243.697428571431</v>
      </c>
      <c r="I15" s="6">
        <f>SUM(P__!R39)</f>
        <v>14850</v>
      </c>
      <c r="J15" s="7">
        <v>1812</v>
      </c>
      <c r="K15" s="19">
        <f>RANK(H15,$H$4:$H$25,1)+COUNTIF($H$4:H15,H15)-1</f>
        <v>17</v>
      </c>
      <c r="L15" s="154" t="str">
        <f>INDEX(B4:I25,MATCH(12,K4:K25,0),1)</f>
        <v>Kolbuszowa</v>
      </c>
      <c r="M15" s="22">
        <f>INDEX(B4:I25,MATCH(12,K4:K25,0),7)</f>
        <v>50004.321951219514</v>
      </c>
    </row>
    <row r="16" spans="1:13" x14ac:dyDescent="0.25">
      <c r="A16" s="16">
        <v>13</v>
      </c>
      <c r="B16" s="7" t="s">
        <v>85</v>
      </c>
      <c r="C16" s="6">
        <f>SUM(P__!L40)</f>
        <v>15573.837295454547</v>
      </c>
      <c r="D16" s="6">
        <f>SUM(P__!M40)</f>
        <v>8368.0500000000011</v>
      </c>
      <c r="E16" s="6">
        <f>SUM(P__!N40)</f>
        <v>9730.7848496240604</v>
      </c>
      <c r="F16" s="6">
        <f>SUMIF(P__!O40,"&gt;1",(P__!O40))</f>
        <v>22787.972302158272</v>
      </c>
      <c r="G16" s="6">
        <f>SUM(P__!P40)</f>
        <v>33022.659577464787</v>
      </c>
      <c r="H16" s="369">
        <f>SUM(P__!Q40)</f>
        <v>41252.479767441859</v>
      </c>
      <c r="I16" s="6">
        <f>SUM(P__!R40)</f>
        <v>9086.95652173913</v>
      </c>
      <c r="J16" s="7">
        <v>1814</v>
      </c>
      <c r="K16" s="20">
        <f>RANK(H16,$H$4:$H$25,1)+COUNTIF($H$4:H16,H16)-1</f>
        <v>9</v>
      </c>
      <c r="L16" s="21" t="str">
        <f>INDEX(B4:I25,MATCH(13,K4:K25,0),1)</f>
        <v>Podkarpacie</v>
      </c>
      <c r="M16" s="6">
        <f>INDEX(B4:I25,MATCH(13,K4:K25,0),7)</f>
        <v>53083.715462184882</v>
      </c>
    </row>
    <row r="17" spans="1:13" x14ac:dyDescent="0.25">
      <c r="A17" s="16">
        <v>14</v>
      </c>
      <c r="B17" s="7" t="s">
        <v>86</v>
      </c>
      <c r="C17" s="6">
        <f>SUM(P__!L41)</f>
        <v>12915.99174796748</v>
      </c>
      <c r="D17" s="6">
        <f>SUM(P__!M41)</f>
        <v>8160.9958823529405</v>
      </c>
      <c r="E17" s="6">
        <f>SUM(P__!N41)</f>
        <v>10445.929351851853</v>
      </c>
      <c r="F17" s="6">
        <f>SUMIF(P__!O41,"&gt;1",(P__!O41))</f>
        <v>20292.108787878788</v>
      </c>
      <c r="G17" s="6">
        <f>SUM(P__!P41)</f>
        <v>29123.921538461538</v>
      </c>
      <c r="H17" s="369">
        <f>SUM(P__!Q41)</f>
        <v>40850.424109589039</v>
      </c>
      <c r="I17" s="6">
        <f>SUM(P__!R41)</f>
        <v>5888.8888888888887</v>
      </c>
      <c r="J17" s="7">
        <v>1815</v>
      </c>
      <c r="K17" s="20">
        <f>RANK(H17,$H$4:$H$25,1)+COUNTIF($H$4:H17,H17)-1</f>
        <v>7</v>
      </c>
      <c r="L17" s="21" t="str">
        <f>INDEX(B4:I25,MATCH(14,K4:K25,0),1)</f>
        <v>Krosno</v>
      </c>
      <c r="M17" s="6">
        <f>INDEX(B4:I25,MATCH(14,K4:K25,0),7)</f>
        <v>54219.033389830511</v>
      </c>
    </row>
    <row r="18" spans="1:13" x14ac:dyDescent="0.25">
      <c r="A18" s="218">
        <v>15</v>
      </c>
      <c r="B18" s="219" t="s">
        <v>87</v>
      </c>
      <c r="C18" s="215">
        <f>SUM(P__!L43)</f>
        <v>11904.609334389857</v>
      </c>
      <c r="D18" s="215">
        <f>SUM(P__!M43)</f>
        <v>2739.4103448275864</v>
      </c>
      <c r="E18" s="215">
        <f>SUM(P__!N43)</f>
        <v>10371.263699633701</v>
      </c>
      <c r="F18" s="215">
        <f>SUMIF(P__!O43,"&gt;1",(P__!O43))</f>
        <v>21381.615312500002</v>
      </c>
      <c r="G18" s="215">
        <f>SUM(P__!P43)</f>
        <v>49685.009080459771</v>
      </c>
      <c r="H18" s="370">
        <f>SUM(P__!Q43)</f>
        <v>74903.813303571427</v>
      </c>
      <c r="I18" s="215">
        <f>SUM(P__!R43)</f>
        <v>11535.76390625</v>
      </c>
      <c r="J18" s="219" t="s">
        <v>145</v>
      </c>
      <c r="K18" s="16">
        <f>RANK(H18,$H$4:$H$25,1)+COUNTIF($H$4:H18,H18)-1</f>
        <v>18</v>
      </c>
      <c r="L18" s="7" t="str">
        <f>INDEX(B4:I25,MATCH(15,K4:K25,0),1)</f>
        <v>Stalowa Wola</v>
      </c>
      <c r="M18" s="6">
        <f>INDEX(B4:I25,MATCH(15,K4:K25,0),7)</f>
        <v>58375.379230769235</v>
      </c>
    </row>
    <row r="19" spans="1:13" x14ac:dyDescent="0.25">
      <c r="A19" s="16">
        <v>16</v>
      </c>
      <c r="B19" s="7" t="s">
        <v>88</v>
      </c>
      <c r="C19" s="6">
        <f>SUM(P__!L44)</f>
        <v>12328.4198125</v>
      </c>
      <c r="D19" s="6">
        <f>SUM(P__!M44)</f>
        <v>8388.8655223880596</v>
      </c>
      <c r="E19" s="6">
        <f>SUM(P__!N44)</f>
        <v>7298.9246111111106</v>
      </c>
      <c r="F19" s="6">
        <f>SUMIF(P__!O44,"&gt;1",(P__!O44))</f>
        <v>10000.877894736841</v>
      </c>
      <c r="G19" s="6">
        <f>SUM(P__!P44)</f>
        <v>25636.279687499999</v>
      </c>
      <c r="H19" s="369">
        <f>SUM(P__!Q44)</f>
        <v>47949.561836734691</v>
      </c>
      <c r="I19" s="6">
        <f>SUM(P__!R44)</f>
        <v>9954.5555555555547</v>
      </c>
      <c r="J19" s="7">
        <v>1817</v>
      </c>
      <c r="K19" s="16">
        <f>RANK(H19,$H$4:$H$25,1)+COUNTIF($H$4:H19,H19)-1</f>
        <v>11</v>
      </c>
      <c r="L19" s="7" t="str">
        <f>INDEX(B4:I25,MATCH(16,K4:K25,0),1)</f>
        <v>Strzyżów</v>
      </c>
      <c r="M19" s="6">
        <f>INDEX(B4:I25,MATCH(16,K4:K25,0),7)</f>
        <v>58952.05169811321</v>
      </c>
    </row>
    <row r="20" spans="1:13" x14ac:dyDescent="0.25">
      <c r="A20" s="16">
        <v>17</v>
      </c>
      <c r="B20" s="7" t="s">
        <v>89</v>
      </c>
      <c r="C20" s="6">
        <f>SUM(P__!L45)</f>
        <v>13350.010120967741</v>
      </c>
      <c r="D20" s="6">
        <f>SUM(P__!M45)</f>
        <v>3372.0714150943395</v>
      </c>
      <c r="E20" s="6">
        <f>SUM(P__!N45)</f>
        <v>9714.0203846153836</v>
      </c>
      <c r="F20" s="6">
        <f>SUMIF(P__!O45,"&gt;1",(P__!O45))</f>
        <v>17629.1836</v>
      </c>
      <c r="G20" s="6">
        <f>SUM(P__!P45)</f>
        <v>22324.325232558138</v>
      </c>
      <c r="H20" s="369">
        <f>SUM(P__!Q45)</f>
        <v>58375.379230769235</v>
      </c>
      <c r="I20" s="6">
        <f>SUM(P__!R45)</f>
        <v>8169.3208823529403</v>
      </c>
      <c r="J20" s="7">
        <v>1818</v>
      </c>
      <c r="K20" s="16">
        <f>RANK(H20,$H$4:$H$25,1)+COUNTIF($H$4:H20,H20)-1</f>
        <v>15</v>
      </c>
      <c r="L20" s="7" t="str">
        <f>INDEX(B4:I25,MATCH(17,K4:K25,0),1)</f>
        <v>Nisko</v>
      </c>
      <c r="M20" s="6">
        <f>INDEX(B4:I25,MATCH(17,K4:K25,0),7)</f>
        <v>65243.697428571431</v>
      </c>
    </row>
    <row r="21" spans="1:13" x14ac:dyDescent="0.25">
      <c r="A21" s="16">
        <v>18</v>
      </c>
      <c r="B21" s="7" t="s">
        <v>90</v>
      </c>
      <c r="C21" s="6">
        <f>SUM(P__!L46)</f>
        <v>13442.706183953034</v>
      </c>
      <c r="D21" s="6">
        <f>SUM(P__!M46)</f>
        <v>10985.015333333335</v>
      </c>
      <c r="E21" s="6">
        <f>SUM(P__!N46)</f>
        <v>7578.7800000000007</v>
      </c>
      <c r="F21" s="6">
        <f>SUMIF(P__!O46,"&gt;1",(P__!O46))</f>
        <v>16393.417863247862</v>
      </c>
      <c r="G21" s="6">
        <f>SUM(P__!P46)</f>
        <v>37943.405529411764</v>
      </c>
      <c r="H21" s="369">
        <f>SUM(P__!Q46)</f>
        <v>58952.05169811321</v>
      </c>
      <c r="I21" s="6">
        <f>SUM(P__!R46)</f>
        <v>10722.222222222223</v>
      </c>
      <c r="J21" s="7">
        <v>1819</v>
      </c>
      <c r="K21" s="16">
        <f>RANK(H21,$H$4:$H$25,1)+COUNTIF($H$4:H21,H21)-1</f>
        <v>16</v>
      </c>
      <c r="L21" s="7" t="str">
        <f>INDEX(B4:I25,MATCH(18,K4:K25,0),1)</f>
        <v>Rzeszów</v>
      </c>
      <c r="M21" s="6">
        <f>INDEX(B4:I25,MATCH(18,K4:K25,0),7)</f>
        <v>74903.813303571427</v>
      </c>
    </row>
    <row r="22" spans="1:13" x14ac:dyDescent="0.25">
      <c r="A22" s="218">
        <v>19</v>
      </c>
      <c r="B22" s="219" t="s">
        <v>91</v>
      </c>
      <c r="C22" s="215">
        <f>SUM(P__!L47)</f>
        <v>12141.553074074074</v>
      </c>
      <c r="D22" s="215">
        <f>SUM(P__!M47)</f>
        <v>12682.744615384614</v>
      </c>
      <c r="E22" s="215">
        <f>SUM(P__!N47)</f>
        <v>8848.4821249999986</v>
      </c>
      <c r="F22" s="215">
        <f>SUMIF(P__!O47,"&gt;1",(P__!O47))</f>
        <v>15637.929335793357</v>
      </c>
      <c r="G22" s="215">
        <f>SUM(P__!P47)</f>
        <v>19700.752253521125</v>
      </c>
      <c r="H22" s="370">
        <f>SUM(P__!Q47)</f>
        <v>28929.117631578945</v>
      </c>
      <c r="I22" s="215">
        <f>SUM(P__!R47)</f>
        <v>8913.7588888888895</v>
      </c>
      <c r="J22" s="219" t="s">
        <v>146</v>
      </c>
      <c r="K22" s="16">
        <f>RANK(H22,$H$4:$H$25,1)+COUNTIF($H$4:H22,H22)-1</f>
        <v>2</v>
      </c>
      <c r="L22" s="7" t="str">
        <f>INDEX(B4:I25,MATCH(19,K4:K25,0),1)</f>
        <v>Jasło</v>
      </c>
      <c r="M22" s="6">
        <f>INDEX(B4:I25,MATCH(19,K4:K25,0),7)</f>
        <v>82121.770769230774</v>
      </c>
    </row>
    <row r="23" spans="1:13" x14ac:dyDescent="0.25">
      <c r="A23" s="16">
        <v>20</v>
      </c>
      <c r="B23" s="7" t="s">
        <v>92</v>
      </c>
      <c r="C23" s="6">
        <f>SUM(P__!L48)</f>
        <v>13395.393404255319</v>
      </c>
      <c r="D23" s="6">
        <f>SUM(P__!M48)</f>
        <v>5553.9644444444448</v>
      </c>
      <c r="E23" s="6">
        <f>SUM(P__!N48)</f>
        <v>5895.8222857142855</v>
      </c>
      <c r="F23" s="6">
        <f>SUMIF(P__!O48,"&gt;1",(P__!O48))</f>
        <v>21436.601666666669</v>
      </c>
      <c r="G23" s="6">
        <f>SUM(P__!P48)</f>
        <v>44073.572068965521</v>
      </c>
      <c r="H23" s="369">
        <f>SUM(P__!Q48)</f>
        <v>127669.182</v>
      </c>
      <c r="I23" s="6">
        <f>SUM(P__!R48)</f>
        <v>14985.714285714286</v>
      </c>
      <c r="J23" s="7">
        <v>1821</v>
      </c>
      <c r="K23" s="16">
        <f>RANK(H23,$H$4:$H$25,1)+COUNTIF($H$4:H23,H23)-1</f>
        <v>22</v>
      </c>
      <c r="L23" s="7" t="str">
        <f>INDEX(B4:I25,MATCH(20,K4:K25,0),1)</f>
        <v>Ustrzyki Dolne</v>
      </c>
      <c r="M23" s="6">
        <f>INDEX(B4:I25,MATCH(20,K4:K25,0),7)</f>
        <v>107142.85714285714</v>
      </c>
    </row>
    <row r="24" spans="1:13" x14ac:dyDescent="0.25">
      <c r="A24" s="218">
        <v>21</v>
      </c>
      <c r="B24" s="219" t="s">
        <v>97</v>
      </c>
      <c r="C24" s="215">
        <f>SUM(P__!L49)</f>
        <v>13481.052800000001</v>
      </c>
      <c r="D24" s="215">
        <f>SUM(P__!M49)</f>
        <v>8729.228000000001</v>
      </c>
      <c r="E24" s="215">
        <f>SUM(P__!N49)</f>
        <v>11767.826356275304</v>
      </c>
      <c r="F24" s="215">
        <f>SUMIF(P__!O49,"&gt;1",(P__!O49))</f>
        <v>16358.021860465115</v>
      </c>
      <c r="G24" s="215">
        <f>SUM(P__!P49)</f>
        <v>22824.840641025643</v>
      </c>
      <c r="H24" s="370">
        <f>SUM(P__!Q49)</f>
        <v>38564.820476190478</v>
      </c>
      <c r="I24" s="215">
        <f>SUM(P__!R49)</f>
        <v>9857.1428571428569</v>
      </c>
      <c r="J24" s="219" t="s">
        <v>144</v>
      </c>
      <c r="K24" s="16">
        <f>RANK(H24,$H$4:$H$25,1)+COUNTIF($H$4:H24,H24)-1</f>
        <v>6</v>
      </c>
      <c r="L24" s="7" t="str">
        <f>INDEX(B4:I25,MATCH(21,K4:K25,0),1)</f>
        <v>Leżajsk</v>
      </c>
      <c r="M24" s="6">
        <f>INDEX(B4:I25,MATCH(21,K4:K25,0),7)</f>
        <v>110291.49571428572</v>
      </c>
    </row>
    <row r="25" spans="1:13" x14ac:dyDescent="0.25">
      <c r="A25" s="16">
        <v>22</v>
      </c>
      <c r="B25" s="18" t="s">
        <v>100</v>
      </c>
      <c r="C25" s="6">
        <f>SUM(P__!L50)</f>
        <v>13014.846298394708</v>
      </c>
      <c r="D25" s="6">
        <f>SUM(P__!M50)</f>
        <v>7250.3362483994879</v>
      </c>
      <c r="E25" s="6">
        <f>SUM(P__!N50)</f>
        <v>8721.5238630299427</v>
      </c>
      <c r="F25" s="6">
        <f>SUMIF(P__!O50,"&gt;1",(P__!O50))</f>
        <v>17225.128580246917</v>
      </c>
      <c r="G25" s="6">
        <f>SUM(P__!P50)</f>
        <v>29182.742895805139</v>
      </c>
      <c r="H25" s="369">
        <f>SUM(P__!Q50)</f>
        <v>53083.715462184882</v>
      </c>
      <c r="I25" s="6">
        <f>SUM(P__!R50)</f>
        <v>11216.649255202628</v>
      </c>
      <c r="J25" s="7">
        <v>1800</v>
      </c>
      <c r="K25" s="16">
        <f>RANK(H25,$H$4:$H$25,1)+COUNTIF($H$4:H25,H25)-1</f>
        <v>13</v>
      </c>
      <c r="L25" s="7" t="str">
        <f>INDEX(B4:I25,MATCH(22,K4:K25,0),1)</f>
        <v>Lesko</v>
      </c>
      <c r="M25" s="6">
        <f>INDEX(B4:I25,MATCH(22,K4:K25,0),7)</f>
        <v>127669.182</v>
      </c>
    </row>
    <row r="26" spans="1:13" x14ac:dyDescent="0.25">
      <c r="B26" s="10"/>
      <c r="C26" s="10">
        <v>1</v>
      </c>
      <c r="D26" s="10">
        <v>2</v>
      </c>
      <c r="E26" s="10">
        <v>3</v>
      </c>
      <c r="F26" s="10">
        <v>4</v>
      </c>
      <c r="G26" s="10">
        <v>5</v>
      </c>
      <c r="H26" s="10">
        <v>6</v>
      </c>
      <c r="I26" s="10">
        <v>7</v>
      </c>
    </row>
    <row r="27" spans="1:13" x14ac:dyDescent="0.25">
      <c r="A27" s="16">
        <v>1</v>
      </c>
      <c r="B27" s="17" t="s">
        <v>1</v>
      </c>
      <c r="C27" s="15" t="s">
        <v>152</v>
      </c>
    </row>
    <row r="28" spans="1:13" x14ac:dyDescent="0.25">
      <c r="A28" s="16">
        <v>2</v>
      </c>
      <c r="B28" s="17" t="s">
        <v>2</v>
      </c>
      <c r="C28" s="15" t="s">
        <v>152</v>
      </c>
    </row>
    <row r="29" spans="1:13" x14ac:dyDescent="0.25">
      <c r="A29" s="16">
        <v>3</v>
      </c>
      <c r="B29" s="17" t="s">
        <v>3</v>
      </c>
      <c r="C29" s="15" t="s">
        <v>152</v>
      </c>
    </row>
    <row r="30" spans="1:13" x14ac:dyDescent="0.25">
      <c r="A30" s="16">
        <v>4</v>
      </c>
      <c r="B30" s="17" t="s">
        <v>4</v>
      </c>
      <c r="C30" s="15" t="s">
        <v>152</v>
      </c>
    </row>
    <row r="31" spans="1:13" x14ac:dyDescent="0.25">
      <c r="A31" s="16">
        <v>5</v>
      </c>
      <c r="B31" s="17" t="s">
        <v>16</v>
      </c>
      <c r="C31" s="15" t="s">
        <v>152</v>
      </c>
    </row>
    <row r="32" spans="1:13" x14ac:dyDescent="0.25">
      <c r="A32" s="348">
        <v>6</v>
      </c>
      <c r="B32" s="368" t="s">
        <v>17</v>
      </c>
      <c r="C32" s="15" t="s">
        <v>152</v>
      </c>
    </row>
    <row r="33" spans="1:12" x14ac:dyDescent="0.25">
      <c r="A33" s="16">
        <v>7</v>
      </c>
      <c r="B33" s="17" t="s">
        <v>11</v>
      </c>
      <c r="C33" s="15" t="s">
        <v>152</v>
      </c>
      <c r="J33" s="15"/>
      <c r="K33" s="15"/>
      <c r="L33" s="15"/>
    </row>
  </sheetData>
  <sortState xmlns:xlrd2="http://schemas.microsoft.com/office/spreadsheetml/2017/richdata2" ref="A4:H25">
    <sortCondition ref="A4:A25"/>
  </sortState>
  <pageMargins left="0.7" right="0.7" top="0.75" bottom="0.75" header="0.3" footer="0.3"/>
  <pageSetup paperSize="9" scale="56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9900"/>
  </sheetPr>
  <dimension ref="A1:M33"/>
  <sheetViews>
    <sheetView zoomScale="90" zoomScaleNormal="90" workbookViewId="0"/>
  </sheetViews>
  <sheetFormatPr defaultRowHeight="15" x14ac:dyDescent="0.25"/>
  <cols>
    <col min="1" max="1" width="5.140625" style="15" customWidth="1"/>
    <col min="2" max="2" width="14.28515625" style="15" customWidth="1"/>
    <col min="3" max="3" width="14.7109375" style="15" customWidth="1"/>
    <col min="4" max="4" width="13.28515625" style="15" customWidth="1"/>
    <col min="5" max="5" width="12.5703125" style="15" customWidth="1"/>
    <col min="6" max="6" width="13.28515625" style="15" customWidth="1"/>
    <col min="7" max="9" width="13" style="15" customWidth="1"/>
    <col min="10" max="10" width="11" style="10" customWidth="1"/>
    <col min="11" max="11" width="7.28515625" style="10" customWidth="1"/>
    <col min="12" max="12" width="14.42578125" style="10" customWidth="1"/>
    <col min="13" max="13" width="11.5703125" style="15" customWidth="1"/>
    <col min="14" max="16384" width="9.140625" style="15"/>
  </cols>
  <sheetData>
    <row r="1" spans="1:13" x14ac:dyDescent="0.25">
      <c r="A1" s="15" t="s">
        <v>298</v>
      </c>
    </row>
    <row r="2" spans="1:13" x14ac:dyDescent="0.25">
      <c r="A2" s="15" t="s">
        <v>326</v>
      </c>
    </row>
    <row r="3" spans="1:13" x14ac:dyDescent="0.25">
      <c r="A3" s="348">
        <f>SUM(P__!K26)</f>
        <v>2021</v>
      </c>
      <c r="B3" s="368" t="s">
        <v>101</v>
      </c>
      <c r="C3" s="348" t="s">
        <v>136</v>
      </c>
      <c r="D3" s="348" t="s">
        <v>135</v>
      </c>
      <c r="E3" s="348" t="s">
        <v>149</v>
      </c>
      <c r="F3" s="348" t="s">
        <v>139</v>
      </c>
      <c r="G3" s="348" t="s">
        <v>150</v>
      </c>
      <c r="H3" s="348" t="s">
        <v>148</v>
      </c>
      <c r="I3" s="348" t="s">
        <v>299</v>
      </c>
      <c r="J3" s="16"/>
      <c r="K3" s="16" t="s">
        <v>71</v>
      </c>
      <c r="L3" s="16" t="s">
        <v>151</v>
      </c>
      <c r="M3" s="43" t="s">
        <v>147</v>
      </c>
    </row>
    <row r="4" spans="1:13" x14ac:dyDescent="0.25">
      <c r="A4" s="16">
        <v>1</v>
      </c>
      <c r="B4" s="7" t="s">
        <v>73</v>
      </c>
      <c r="C4" s="6">
        <f>SUM(P__!L27)</f>
        <v>13681.669927536232</v>
      </c>
      <c r="D4" s="6">
        <f>SUM(P__!M27)</f>
        <v>11344.465</v>
      </c>
      <c r="E4" s="6">
        <f>SUM(P__!N27)</f>
        <v>6614.1498000000001</v>
      </c>
      <c r="F4" s="6">
        <f>SUMIF(P__!O27,"&gt;1",(P__!O27))</f>
        <v>19526.167142857146</v>
      </c>
      <c r="G4" s="6">
        <f>SUMIF(P__!P27,"&gt;1",(P__!P27))</f>
        <v>29999.74672727273</v>
      </c>
      <c r="H4" s="6">
        <f>SUMIF(P__!Q27,"&gt;1",(P__!Q27))</f>
        <v>107142.85714285714</v>
      </c>
      <c r="I4" s="369">
        <f>SUMIF(P__!R27,"&gt;1",(P__!R27))</f>
        <v>18338.249705882354</v>
      </c>
      <c r="J4" s="7">
        <v>1801</v>
      </c>
      <c r="K4" s="19">
        <f>RANK(I4,$I$4:$I$25,1)+COUNTIF($I$4:I4,I4)-1</f>
        <v>22</v>
      </c>
      <c r="L4" s="7" t="str">
        <f>INDEX(B4:I25,MATCH(1,K4:K25,0),1)</f>
        <v>Ropczyce</v>
      </c>
      <c r="M4" s="6">
        <f>INDEX(B4:I25,MATCH(1,K4:K25,0),8)</f>
        <v>5888.8888888888887</v>
      </c>
    </row>
    <row r="5" spans="1:13" x14ac:dyDescent="0.25">
      <c r="A5" s="16">
        <v>2</v>
      </c>
      <c r="B5" s="7" t="s">
        <v>74</v>
      </c>
      <c r="C5" s="6">
        <f>SUM(P__!L28)</f>
        <v>15714.401250000001</v>
      </c>
      <c r="D5" s="6">
        <f>SUM(P__!M28)</f>
        <v>8595.8549999999996</v>
      </c>
      <c r="E5" s="6">
        <f>SUM(P__!N28)</f>
        <v>6066.8047530864196</v>
      </c>
      <c r="F5" s="6">
        <f>SUMIF(P__!O28,"&gt;1",(P__!O28))</f>
        <v>19397.623559322034</v>
      </c>
      <c r="G5" s="6">
        <f>SUM(P__!P28)</f>
        <v>31437.952110091741</v>
      </c>
      <c r="H5" s="6">
        <f>SUM(P__!Q28)</f>
        <v>37726.620416666665</v>
      </c>
      <c r="I5" s="369">
        <f>SUM(P__!R28)</f>
        <v>17228.571428571428</v>
      </c>
      <c r="J5" s="7">
        <v>1802</v>
      </c>
      <c r="K5" s="19">
        <f>RANK(I5,$I$4:$I$25,1)+COUNTIF($I$4:I5,I5)-1</f>
        <v>21</v>
      </c>
      <c r="L5" s="18" t="str">
        <f>INDEX(B4:I25,MATCH(2,K4:K25,0),1)</f>
        <v>Mielec</v>
      </c>
      <c r="M5" s="6">
        <f>INDEX(B4:I25,MATCH(2,K4:K25,0),8)</f>
        <v>8000</v>
      </c>
    </row>
    <row r="6" spans="1:13" x14ac:dyDescent="0.25">
      <c r="A6" s="16">
        <v>3</v>
      </c>
      <c r="B6" s="7" t="s">
        <v>75</v>
      </c>
      <c r="C6" s="6">
        <f>SUM(P__!L29)</f>
        <v>14942.120753768842</v>
      </c>
      <c r="D6" s="6">
        <f>SUM(P__!M29)</f>
        <v>10251.5</v>
      </c>
      <c r="E6" s="6">
        <f>SUM(P__!N29)</f>
        <v>7773.3001265822777</v>
      </c>
      <c r="F6" s="6">
        <f>SUMIF(P__!O29,"&gt;1",(P__!O29))</f>
        <v>17579.073333333334</v>
      </c>
      <c r="G6" s="6">
        <f>SUM(P__!P29)</f>
        <v>24094.089739130432</v>
      </c>
      <c r="H6" s="6">
        <f>SUM(P__!Q29)</f>
        <v>40966.443478260873</v>
      </c>
      <c r="I6" s="369">
        <f>SUM(P__!R29)</f>
        <v>11734.375</v>
      </c>
      <c r="J6" s="7">
        <v>1803</v>
      </c>
      <c r="K6" s="19">
        <f>RANK(I6,$I$4:$I$25,1)+COUNTIF($I$4:I6,I6)-1</f>
        <v>15</v>
      </c>
      <c r="L6" s="18" t="str">
        <f>INDEX(B4:I25,MATCH(3,K4:K25,0),1)</f>
        <v>Stalowa Wola</v>
      </c>
      <c r="M6" s="6">
        <f>INDEX(B4:I25,MATCH(3,K4:K25,0),8)</f>
        <v>8169.3208823529403</v>
      </c>
    </row>
    <row r="7" spans="1:13" x14ac:dyDescent="0.25">
      <c r="A7" s="16">
        <v>4</v>
      </c>
      <c r="B7" s="7" t="s">
        <v>76</v>
      </c>
      <c r="C7" s="6">
        <f>SUM(P__!L30)</f>
        <v>13379.878502994012</v>
      </c>
      <c r="D7" s="6">
        <f>SUM(P__!M30)</f>
        <v>10438.48</v>
      </c>
      <c r="E7" s="6">
        <f>SUM(P__!N30)</f>
        <v>9845.926007604563</v>
      </c>
      <c r="F7" s="6">
        <f>SUMIF(P__!O30,"&gt;1",(P__!O30))</f>
        <v>18301.619774436091</v>
      </c>
      <c r="G7" s="6">
        <f>SUM(P__!P30)</f>
        <v>31538.182136752137</v>
      </c>
      <c r="H7" s="6">
        <f>SUM(P__!Q30)</f>
        <v>45659.340540540536</v>
      </c>
      <c r="I7" s="369">
        <f>SUM(P__!R30)</f>
        <v>13770.712608695652</v>
      </c>
      <c r="J7" s="7">
        <v>1804</v>
      </c>
      <c r="K7" s="19">
        <f>RANK(I7,$I$4:$I$25,1)+COUNTIF($I$4:I7,I7)-1</f>
        <v>16</v>
      </c>
      <c r="L7" s="18" t="str">
        <f>INDEX(B4:I25,MATCH(4,K4:K25,0),1)</f>
        <v>Krosno</v>
      </c>
      <c r="M7" s="6">
        <f>INDEX(B4:I25,MATCH(4,K4:K25,0),8)</f>
        <v>8435.8974358974356</v>
      </c>
    </row>
    <row r="8" spans="1:13" x14ac:dyDescent="0.25">
      <c r="A8" s="16">
        <v>5</v>
      </c>
      <c r="B8" s="7" t="s">
        <v>77</v>
      </c>
      <c r="C8" s="6">
        <f>SUM(P__!L31)</f>
        <v>12778.869616613418</v>
      </c>
      <c r="D8" s="6">
        <f>SUM(P__!M31)</f>
        <v>11194.186874999999</v>
      </c>
      <c r="E8" s="6">
        <f>SUM(P__!N31)</f>
        <v>9807.594794520548</v>
      </c>
      <c r="F8" s="6">
        <f>SUMIF(P__!O31,"&gt;1",(P__!O31))</f>
        <v>14134.019583333335</v>
      </c>
      <c r="G8" s="6">
        <f>SUM(P__!P31)</f>
        <v>25059.573243243241</v>
      </c>
      <c r="H8" s="6">
        <f>SUM(P__!Q31)</f>
        <v>82121.770769230774</v>
      </c>
      <c r="I8" s="369">
        <f>SUM(P__!R31)</f>
        <v>16382.142857142857</v>
      </c>
      <c r="J8" s="7">
        <v>1805</v>
      </c>
      <c r="K8" s="19">
        <f>RANK(I8,$I$4:$I$25,1)+COUNTIF($I$4:I8,I8)-1</f>
        <v>20</v>
      </c>
      <c r="L8" s="18" t="str">
        <f>INDEX(B4:I25,MATCH(5,K4:K25,0),1)</f>
        <v>Łańcut</v>
      </c>
      <c r="M8" s="6">
        <f>INDEX(B4:I25,MATCH(5,K4:K25,0),8)</f>
        <v>8489.3617021276605</v>
      </c>
    </row>
    <row r="9" spans="1:13" x14ac:dyDescent="0.25">
      <c r="A9" s="16">
        <v>6</v>
      </c>
      <c r="B9" s="7" t="s">
        <v>78</v>
      </c>
      <c r="C9" s="6">
        <f>SUM(P__!L32)</f>
        <v>11641.389814814815</v>
      </c>
      <c r="D9" s="6">
        <f>SUM(P__!M32)</f>
        <v>9158.8448275862065</v>
      </c>
      <c r="E9" s="6">
        <f>SUM(P__!N32)</f>
        <v>5263.067345132743</v>
      </c>
      <c r="F9" s="6">
        <f>SUMIF(P__!O32,"&gt;1",(P__!O32))</f>
        <v>18504.820666666667</v>
      </c>
      <c r="G9" s="6">
        <f>SUM(P__!P32)</f>
        <v>29455.622950819674</v>
      </c>
      <c r="H9" s="6">
        <f>SUM(P__!Q32)</f>
        <v>50004.321951219514</v>
      </c>
      <c r="I9" s="369">
        <f>SUM(P__!R32)</f>
        <v>15000</v>
      </c>
      <c r="J9" s="7">
        <v>1806</v>
      </c>
      <c r="K9" s="19">
        <f>RANK(I9,$I$4:$I$25,1)+COUNTIF($I$4:I9,I9)-1</f>
        <v>19</v>
      </c>
      <c r="L9" s="18" t="str">
        <f>INDEX(B4:I25,MATCH(6,K4:K25,0),1)</f>
        <v>Tarnobrzeg</v>
      </c>
      <c r="M9" s="6">
        <f>INDEX(B4:I25,MATCH(6,K4:K25,0),8)</f>
        <v>8913.7588888888895</v>
      </c>
    </row>
    <row r="10" spans="1:13" x14ac:dyDescent="0.25">
      <c r="A10" s="218">
        <v>7</v>
      </c>
      <c r="B10" s="219" t="s">
        <v>79</v>
      </c>
      <c r="C10" s="215">
        <f>SUM(P__!L33)</f>
        <v>12553.818190954773</v>
      </c>
      <c r="D10" s="215">
        <f>SUM(P__!M33)</f>
        <v>8620.3804166666669</v>
      </c>
      <c r="E10" s="215">
        <f>SUM(P__!N33)</f>
        <v>6423.7599999999993</v>
      </c>
      <c r="F10" s="215">
        <f>SUMIF(P__!O33,"&gt;1",(P__!O33))</f>
        <v>7991.192222222222</v>
      </c>
      <c r="G10" s="215">
        <f>SUM(P__!P33)</f>
        <v>23694.158785046729</v>
      </c>
      <c r="H10" s="215">
        <f>SUM(P__!Q33)</f>
        <v>54219.033389830511</v>
      </c>
      <c r="I10" s="370">
        <f>SUM(P__!R33)</f>
        <v>8435.8974358974356</v>
      </c>
      <c r="J10" s="219" t="s">
        <v>143</v>
      </c>
      <c r="K10" s="19">
        <f>RANK(I10,$I$4:$I$25,1)+COUNTIF($I$4:I10,I10)-1</f>
        <v>4</v>
      </c>
      <c r="L10" s="18" t="str">
        <f>INDEX(B4:I25,MATCH(7,K4:K25,0),1)</f>
        <v>Przeworsk</v>
      </c>
      <c r="M10" s="6">
        <f>INDEX(B4:I25,MATCH(7,K4:K25,0),8)</f>
        <v>9086.95652173913</v>
      </c>
    </row>
    <row r="11" spans="1:13" x14ac:dyDescent="0.25">
      <c r="A11" s="16">
        <v>8</v>
      </c>
      <c r="B11" s="7" t="s">
        <v>80</v>
      </c>
      <c r="C11" s="6">
        <f>SUM(P__!L35)</f>
        <v>12980.238530701754</v>
      </c>
      <c r="D11" s="6">
        <f>SUM(P__!M35)</f>
        <v>11343.624054054055</v>
      </c>
      <c r="E11" s="6">
        <f>SUM(P__!N35)</f>
        <v>9549.6243902439019</v>
      </c>
      <c r="F11" s="6">
        <f>SUMIF(P__!O35,"&gt;1",(P__!O35))</f>
        <v>13031.564930555556</v>
      </c>
      <c r="G11" s="6">
        <f>SUM(P__!P35)</f>
        <v>28104.513513513513</v>
      </c>
      <c r="H11" s="6">
        <f>SUM(P__!Q35)</f>
        <v>110291.49571428572</v>
      </c>
      <c r="I11" s="369">
        <f>SUM(P__!R35)</f>
        <v>10323.529411764706</v>
      </c>
      <c r="J11" s="7">
        <v>1808</v>
      </c>
      <c r="K11" s="19">
        <f>RANK(I11,$I$4:$I$25,1)+COUNTIF($I$4:I11,I11)-1</f>
        <v>11</v>
      </c>
      <c r="L11" s="18" t="str">
        <f>INDEX(B4:I25,MATCH(8,K4:K25,0),1)</f>
        <v>Lubaczów</v>
      </c>
      <c r="M11" s="6">
        <f>INDEX(B4:I25,MATCH(8,K4:K25,0),8)</f>
        <v>9749.8708139534883</v>
      </c>
    </row>
    <row r="12" spans="1:13" x14ac:dyDescent="0.25">
      <c r="A12" s="16">
        <v>9</v>
      </c>
      <c r="B12" s="7" t="s">
        <v>81</v>
      </c>
      <c r="C12" s="6">
        <f>SUM(P__!L36)</f>
        <v>12888.656102941177</v>
      </c>
      <c r="D12" s="6">
        <f>SUM(P__!M36)</f>
        <v>10973.99</v>
      </c>
      <c r="E12" s="6">
        <f>SUM(P__!N36)</f>
        <v>9369.1174193548377</v>
      </c>
      <c r="F12" s="6">
        <f>SUMIF(P__!O36,"&gt;1",(P__!O36))</f>
        <v>16346.299629629631</v>
      </c>
      <c r="G12" s="6">
        <f>SUM(P__!P36)</f>
        <v>27988.132931034481</v>
      </c>
      <c r="H12" s="216">
        <f>SUMIF(P__!Q36,"&gt;1",(P__!Q36))</f>
        <v>0</v>
      </c>
      <c r="I12" s="369">
        <f>SUMIF(P__!R36,"&gt;1",(P__!R36))</f>
        <v>9749.8708139534883</v>
      </c>
      <c r="J12" s="7">
        <v>1809</v>
      </c>
      <c r="K12" s="19">
        <f>RANK(I12,$I$4:$I$25,1)+COUNTIF($I$4:I12,I12)-1</f>
        <v>8</v>
      </c>
      <c r="L12" s="18" t="str">
        <f>INDEX(B4:I25,MATCH(9,K4:K25,0),1)</f>
        <v>Przemyśl</v>
      </c>
      <c r="M12" s="6">
        <f>INDEX(B4:I25,MATCH(9,K4:K25,0),8)</f>
        <v>9857.1428571428569</v>
      </c>
    </row>
    <row r="13" spans="1:13" x14ac:dyDescent="0.25">
      <c r="A13" s="16">
        <v>10</v>
      </c>
      <c r="B13" s="7" t="s">
        <v>82</v>
      </c>
      <c r="C13" s="6">
        <f>SUM(P__!L37)</f>
        <v>15085.837870036099</v>
      </c>
      <c r="D13" s="6">
        <f>SUM(P__!M37)</f>
        <v>12609.18</v>
      </c>
      <c r="E13" s="6">
        <f>SUM(P__!N37)</f>
        <v>8129.4257516339867</v>
      </c>
      <c r="F13" s="6">
        <f>SUMIF(P__!O37,"&gt;1",(P__!O37))</f>
        <v>17523.310650406504</v>
      </c>
      <c r="G13" s="6">
        <f>SUM(P__!P37)</f>
        <v>31102.884615384617</v>
      </c>
      <c r="H13" s="6">
        <f>SUM(P__!Q37)</f>
        <v>37687.5</v>
      </c>
      <c r="I13" s="369">
        <f>SUM(P__!R37)</f>
        <v>8489.3617021276605</v>
      </c>
      <c r="J13" s="7">
        <v>1810</v>
      </c>
      <c r="K13" s="19">
        <f>RANK(I13,$I$4:$I$25,1)+COUNTIF($I$4:I13,I13)-1</f>
        <v>5</v>
      </c>
      <c r="L13" s="18" t="str">
        <f>INDEX(B4:I25,MATCH(10,K4:K25,0),1)</f>
        <v>Sanok</v>
      </c>
      <c r="M13" s="6">
        <f>INDEX(B4:I25,MATCH(10,K4:K25,0),8)</f>
        <v>9954.5555555555547</v>
      </c>
    </row>
    <row r="14" spans="1:13" x14ac:dyDescent="0.25">
      <c r="A14" s="16">
        <v>11</v>
      </c>
      <c r="B14" s="7" t="s">
        <v>83</v>
      </c>
      <c r="C14" s="6">
        <f>SUM(P__!L38)</f>
        <v>8961.8028623188402</v>
      </c>
      <c r="D14" s="6">
        <f>SUM(P__!M38)</f>
        <v>4585.1477777777782</v>
      </c>
      <c r="E14" s="6">
        <f>SUM(P__!N38)</f>
        <v>7577.0269194312796</v>
      </c>
      <c r="F14" s="6">
        <f>SUMIF(P__!O38,"&gt;1",(P__!O38))</f>
        <v>11377.817031250001</v>
      </c>
      <c r="G14" s="6">
        <f>SUM(P__!P38)</f>
        <v>20844.939906542055</v>
      </c>
      <c r="H14" s="6">
        <f>SUM(P__!Q38)</f>
        <v>38286.187350427346</v>
      </c>
      <c r="I14" s="369">
        <f>SUM(P__!R38)</f>
        <v>8000</v>
      </c>
      <c r="J14" s="7">
        <v>1811</v>
      </c>
      <c r="K14" s="153">
        <f>RANK(I14,$I$4:$I$25,1)+COUNTIF($I$4:I14,I14)-1</f>
        <v>2</v>
      </c>
      <c r="L14" s="18" t="str">
        <f>INDEX(B4:I25,MATCH(11,K4:K25,0),1)</f>
        <v>Leżajsk</v>
      </c>
      <c r="M14" s="6">
        <f>INDEX(B4:I25,MATCH(11,K4:K25,0),8)</f>
        <v>10323.529411764706</v>
      </c>
    </row>
    <row r="15" spans="1:13" x14ac:dyDescent="0.25">
      <c r="A15" s="16">
        <v>12</v>
      </c>
      <c r="B15" s="7" t="s">
        <v>84</v>
      </c>
      <c r="C15" s="6">
        <f>SUM(P__!L39)</f>
        <v>14570.84357827476</v>
      </c>
      <c r="D15" s="6">
        <f>SUM(P__!M39)</f>
        <v>15438.321538461538</v>
      </c>
      <c r="E15" s="6">
        <f>SUM(P__!N39)</f>
        <v>8099.6970550161814</v>
      </c>
      <c r="F15" s="6">
        <f>SUMIF(P__!O39,"&gt;1",(P__!O39))</f>
        <v>21828.017884615383</v>
      </c>
      <c r="G15" s="6">
        <f>SUM(P__!P39)</f>
        <v>25669.014084507042</v>
      </c>
      <c r="H15" s="6">
        <f>SUM(P__!Q39)</f>
        <v>65243.697428571431</v>
      </c>
      <c r="I15" s="369">
        <f>SUM(P__!R39)</f>
        <v>14850</v>
      </c>
      <c r="J15" s="7">
        <v>1812</v>
      </c>
      <c r="K15" s="19">
        <f>RANK(I15,$I$4:$I$25,1)+COUNTIF($I$4:I15,I15)-1</f>
        <v>17</v>
      </c>
      <c r="L15" s="220" t="str">
        <f>INDEX(B4:I25,MATCH(12,K4:K25,0),1)</f>
        <v>Strzyżów</v>
      </c>
      <c r="M15" s="216">
        <f>INDEX(B4:I25,MATCH(12,K4:K25,0),8)</f>
        <v>10722.222222222223</v>
      </c>
    </row>
    <row r="16" spans="1:13" x14ac:dyDescent="0.25">
      <c r="A16" s="16">
        <v>13</v>
      </c>
      <c r="B16" s="7" t="s">
        <v>85</v>
      </c>
      <c r="C16" s="6">
        <f>SUM(P__!L40)</f>
        <v>15573.837295454547</v>
      </c>
      <c r="D16" s="6">
        <f>SUM(P__!M40)</f>
        <v>8368.0500000000011</v>
      </c>
      <c r="E16" s="6">
        <f>SUM(P__!N40)</f>
        <v>9730.7848496240604</v>
      </c>
      <c r="F16" s="6">
        <f>SUMIF(P__!O40,"&gt;1",(P__!O40))</f>
        <v>22787.972302158272</v>
      </c>
      <c r="G16" s="6">
        <f>SUM(P__!P40)</f>
        <v>33022.659577464787</v>
      </c>
      <c r="H16" s="6">
        <f>SUM(P__!Q40)</f>
        <v>41252.479767441859</v>
      </c>
      <c r="I16" s="369">
        <f>SUM(P__!R40)</f>
        <v>9086.95652173913</v>
      </c>
      <c r="J16" s="7">
        <v>1814</v>
      </c>
      <c r="K16" s="20">
        <f>RANK(I16,$I$4:$I$25,1)+COUNTIF($I$4:I16,I16)-1</f>
        <v>7</v>
      </c>
      <c r="L16" s="21" t="str">
        <f>INDEX(B4:I25,MATCH(13,K4:K25,0),1)</f>
        <v>Podkarpacie</v>
      </c>
      <c r="M16" s="6">
        <f>INDEX(B4:I25,MATCH(13,K4:K25,0),8)</f>
        <v>11216.649255202628</v>
      </c>
    </row>
    <row r="17" spans="1:13" x14ac:dyDescent="0.25">
      <c r="A17" s="16">
        <v>14</v>
      </c>
      <c r="B17" s="7" t="s">
        <v>86</v>
      </c>
      <c r="C17" s="6">
        <f>SUM(P__!L41)</f>
        <v>12915.99174796748</v>
      </c>
      <c r="D17" s="6">
        <f>SUM(P__!M41)</f>
        <v>8160.9958823529405</v>
      </c>
      <c r="E17" s="6">
        <f>SUM(P__!N41)</f>
        <v>10445.929351851853</v>
      </c>
      <c r="F17" s="6">
        <f>SUMIF(P__!O41,"&gt;1",(P__!O41))</f>
        <v>20292.108787878788</v>
      </c>
      <c r="G17" s="6">
        <f>SUM(P__!P41)</f>
        <v>29123.921538461538</v>
      </c>
      <c r="H17" s="6">
        <f>SUM(P__!Q41)</f>
        <v>40850.424109589039</v>
      </c>
      <c r="I17" s="369">
        <f>SUM(P__!R41)</f>
        <v>5888.8888888888887</v>
      </c>
      <c r="J17" s="7">
        <v>1815</v>
      </c>
      <c r="K17" s="20">
        <f>RANK(I17,$I$4:$I$25,1)+COUNTIF($I$4:I17,I17)-1</f>
        <v>1</v>
      </c>
      <c r="L17" s="21" t="str">
        <f>INDEX(B4:I25,MATCH(14,K4:K25,0),1)</f>
        <v>Rzeszów</v>
      </c>
      <c r="M17" s="6">
        <f>INDEX(B4:I25,MATCH(14,K4:K25,0),8)</f>
        <v>11535.76390625</v>
      </c>
    </row>
    <row r="18" spans="1:13" x14ac:dyDescent="0.25">
      <c r="A18" s="218">
        <v>15</v>
      </c>
      <c r="B18" s="219" t="s">
        <v>87</v>
      </c>
      <c r="C18" s="215">
        <f>SUM(P__!L43)</f>
        <v>11904.609334389857</v>
      </c>
      <c r="D18" s="215">
        <f>SUM(P__!M43)</f>
        <v>2739.4103448275864</v>
      </c>
      <c r="E18" s="215">
        <f>SUM(P__!N43)</f>
        <v>10371.263699633701</v>
      </c>
      <c r="F18" s="215">
        <f>SUMIF(P__!O43,"&gt;1",(P__!O43))</f>
        <v>21381.615312500002</v>
      </c>
      <c r="G18" s="215">
        <f>SUM(P__!P43)</f>
        <v>49685.009080459771</v>
      </c>
      <c r="H18" s="215">
        <f>SUM(P__!Q43)</f>
        <v>74903.813303571427</v>
      </c>
      <c r="I18" s="370">
        <f>SUM(P__!R43)</f>
        <v>11535.76390625</v>
      </c>
      <c r="J18" s="219" t="s">
        <v>145</v>
      </c>
      <c r="K18" s="19">
        <f>RANK(I18,$I$4:$I$25,1)+COUNTIF($I$4:I18,I18)-1</f>
        <v>14</v>
      </c>
      <c r="L18" s="7" t="str">
        <f>INDEX(B4:I25,MATCH(15,K4:K25,0),1)</f>
        <v>Dębica</v>
      </c>
      <c r="M18" s="6">
        <f>INDEX(B4:I25,MATCH(15,K4:K25,0),8)</f>
        <v>11734.375</v>
      </c>
    </row>
    <row r="19" spans="1:13" x14ac:dyDescent="0.25">
      <c r="A19" s="16">
        <v>16</v>
      </c>
      <c r="B19" s="7" t="s">
        <v>88</v>
      </c>
      <c r="C19" s="6">
        <f>SUM(P__!L44)</f>
        <v>12328.4198125</v>
      </c>
      <c r="D19" s="6">
        <f>SUM(P__!M44)</f>
        <v>8388.8655223880596</v>
      </c>
      <c r="E19" s="6">
        <f>SUM(P__!N44)</f>
        <v>7298.9246111111106</v>
      </c>
      <c r="F19" s="6">
        <f>SUMIF(P__!O44,"&gt;1",(P__!O44))</f>
        <v>10000.877894736841</v>
      </c>
      <c r="G19" s="6">
        <f>SUM(P__!P44)</f>
        <v>25636.279687499999</v>
      </c>
      <c r="H19" s="6">
        <f>SUM(P__!Q44)</f>
        <v>47949.561836734691</v>
      </c>
      <c r="I19" s="369">
        <f>SUM(P__!R44)</f>
        <v>9954.5555555555547</v>
      </c>
      <c r="J19" s="7">
        <v>1817</v>
      </c>
      <c r="K19" s="19">
        <f>RANK(I19,$I$4:$I$25,1)+COUNTIF($I$4:I19,I19)-1</f>
        <v>10</v>
      </c>
      <c r="L19" s="7" t="str">
        <f>INDEX(B4:I25,MATCH(16,K4:K25,0),1)</f>
        <v>Jarosław</v>
      </c>
      <c r="M19" s="6">
        <f>INDEX(B4:I25,MATCH(16,K4:K25,0),8)</f>
        <v>13770.712608695652</v>
      </c>
    </row>
    <row r="20" spans="1:13" x14ac:dyDescent="0.25">
      <c r="A20" s="16">
        <v>17</v>
      </c>
      <c r="B20" s="7" t="s">
        <v>89</v>
      </c>
      <c r="C20" s="6">
        <f>SUM(P__!L45)</f>
        <v>13350.010120967741</v>
      </c>
      <c r="D20" s="6">
        <f>SUM(P__!M45)</f>
        <v>3372.0714150943395</v>
      </c>
      <c r="E20" s="6">
        <f>SUM(P__!N45)</f>
        <v>9714.0203846153836</v>
      </c>
      <c r="F20" s="6">
        <f>SUMIF(P__!O45,"&gt;1",(P__!O45))</f>
        <v>17629.1836</v>
      </c>
      <c r="G20" s="6">
        <f>SUM(P__!P45)</f>
        <v>22324.325232558138</v>
      </c>
      <c r="H20" s="6">
        <f>SUM(P__!Q45)</f>
        <v>58375.379230769235</v>
      </c>
      <c r="I20" s="369">
        <f>SUM(P__!R45)</f>
        <v>8169.3208823529403</v>
      </c>
      <c r="J20" s="7">
        <v>1818</v>
      </c>
      <c r="K20" s="19">
        <f>RANK(I20,$I$4:$I$25,1)+COUNTIF($I$4:I20,I20)-1</f>
        <v>3</v>
      </c>
      <c r="L20" s="7" t="str">
        <f>INDEX(B4:I25,MATCH(17,K4:K25,0),1)</f>
        <v>Nisko</v>
      </c>
      <c r="M20" s="6">
        <f>INDEX(B4:I25,MATCH(17,K4:K25,0),8)</f>
        <v>14850</v>
      </c>
    </row>
    <row r="21" spans="1:13" x14ac:dyDescent="0.25">
      <c r="A21" s="16">
        <v>18</v>
      </c>
      <c r="B21" s="7" t="s">
        <v>90</v>
      </c>
      <c r="C21" s="6">
        <f>SUM(P__!L46)</f>
        <v>13442.706183953034</v>
      </c>
      <c r="D21" s="6">
        <f>SUM(P__!M46)</f>
        <v>10985.015333333335</v>
      </c>
      <c r="E21" s="6">
        <f>SUM(P__!N46)</f>
        <v>7578.7800000000007</v>
      </c>
      <c r="F21" s="6">
        <f>SUMIF(P__!O46,"&gt;1",(P__!O46))</f>
        <v>16393.417863247862</v>
      </c>
      <c r="G21" s="6">
        <f>SUM(P__!P46)</f>
        <v>37943.405529411764</v>
      </c>
      <c r="H21" s="6">
        <f>SUM(P__!Q46)</f>
        <v>58952.05169811321</v>
      </c>
      <c r="I21" s="369">
        <f>SUM(P__!R46)</f>
        <v>10722.222222222223</v>
      </c>
      <c r="J21" s="7">
        <v>1819</v>
      </c>
      <c r="K21" s="19">
        <f>RANK(I21,$I$4:$I$25,1)+COUNTIF($I$4:I21,I21)-1</f>
        <v>12</v>
      </c>
      <c r="L21" s="7" t="str">
        <f>INDEX(B4:I25,MATCH(18,K4:K25,0),1)</f>
        <v>Lesko</v>
      </c>
      <c r="M21" s="6">
        <f>INDEX(B4:I25,MATCH(18,K4:K25,0),8)</f>
        <v>14985.714285714286</v>
      </c>
    </row>
    <row r="22" spans="1:13" x14ac:dyDescent="0.25">
      <c r="A22" s="218">
        <v>19</v>
      </c>
      <c r="B22" s="219" t="s">
        <v>91</v>
      </c>
      <c r="C22" s="215">
        <f>SUM(P__!L47)</f>
        <v>12141.553074074074</v>
      </c>
      <c r="D22" s="215">
        <f>SUM(P__!M47)</f>
        <v>12682.744615384614</v>
      </c>
      <c r="E22" s="215">
        <f>SUM(P__!N47)</f>
        <v>8848.4821249999986</v>
      </c>
      <c r="F22" s="215">
        <f>SUMIF(P__!O47,"&gt;1",(P__!O47))</f>
        <v>15637.929335793357</v>
      </c>
      <c r="G22" s="215">
        <f>SUM(P__!P47)</f>
        <v>19700.752253521125</v>
      </c>
      <c r="H22" s="215">
        <f>SUM(P__!Q47)</f>
        <v>28929.117631578945</v>
      </c>
      <c r="I22" s="370">
        <f>SUM(P__!R47)</f>
        <v>8913.7588888888895</v>
      </c>
      <c r="J22" s="219" t="s">
        <v>146</v>
      </c>
      <c r="K22" s="19">
        <f>RANK(I22,$I$4:$I$25,1)+COUNTIF($I$4:I22,I22)-1</f>
        <v>6</v>
      </c>
      <c r="L22" s="7" t="str">
        <f>INDEX(B4:I25,MATCH(19,K4:K25,0),1)</f>
        <v>Kolbuszowa</v>
      </c>
      <c r="M22" s="6">
        <f>INDEX(B4:I25,MATCH(19,K4:K25,0),8)</f>
        <v>15000</v>
      </c>
    </row>
    <row r="23" spans="1:13" x14ac:dyDescent="0.25">
      <c r="A23" s="16">
        <v>20</v>
      </c>
      <c r="B23" s="7" t="s">
        <v>92</v>
      </c>
      <c r="C23" s="6">
        <f>SUM(P__!L48)</f>
        <v>13395.393404255319</v>
      </c>
      <c r="D23" s="6">
        <f>SUM(P__!M48)</f>
        <v>5553.9644444444448</v>
      </c>
      <c r="E23" s="6">
        <f>SUM(P__!N48)</f>
        <v>5895.8222857142855</v>
      </c>
      <c r="F23" s="6">
        <f>SUMIF(P__!O48,"&gt;1",(P__!O48))</f>
        <v>21436.601666666669</v>
      </c>
      <c r="G23" s="6">
        <f>SUM(P__!P48)</f>
        <v>44073.572068965521</v>
      </c>
      <c r="H23" s="6">
        <f>SUM(P__!Q48)</f>
        <v>127669.182</v>
      </c>
      <c r="I23" s="369">
        <f>SUM(P__!R48)</f>
        <v>14985.714285714286</v>
      </c>
      <c r="J23" s="7">
        <v>1821</v>
      </c>
      <c r="K23" s="19">
        <f>RANK(I23,$I$4:$I$25,1)+COUNTIF($I$4:I23,I23)-1</f>
        <v>18</v>
      </c>
      <c r="L23" s="7" t="str">
        <f>INDEX(B4:I25,MATCH(20,K4:K25,0),1)</f>
        <v>Jasło</v>
      </c>
      <c r="M23" s="6">
        <f>INDEX(B4:I25,MATCH(20,K4:K25,0),8)</f>
        <v>16382.142857142857</v>
      </c>
    </row>
    <row r="24" spans="1:13" x14ac:dyDescent="0.25">
      <c r="A24" s="218">
        <v>21</v>
      </c>
      <c r="B24" s="219" t="s">
        <v>97</v>
      </c>
      <c r="C24" s="215">
        <f>SUM(P__!L49)</f>
        <v>13481.052800000001</v>
      </c>
      <c r="D24" s="215">
        <f>SUM(P__!M49)</f>
        <v>8729.228000000001</v>
      </c>
      <c r="E24" s="215">
        <f>SUM(P__!N49)</f>
        <v>11767.826356275304</v>
      </c>
      <c r="F24" s="215">
        <f>SUMIF(P__!O49,"&gt;1",(P__!O49))</f>
        <v>16358.021860465115</v>
      </c>
      <c r="G24" s="215">
        <f>SUM(P__!P49)</f>
        <v>22824.840641025643</v>
      </c>
      <c r="H24" s="215">
        <f>SUM(P__!Q49)</f>
        <v>38564.820476190478</v>
      </c>
      <c r="I24" s="370">
        <f>SUM(P__!R49)</f>
        <v>9857.1428571428569</v>
      </c>
      <c r="J24" s="219" t="s">
        <v>144</v>
      </c>
      <c r="K24" s="19">
        <f>RANK(I24,$I$4:$I$25,1)+COUNTIF($I$4:I24,I24)-1</f>
        <v>9</v>
      </c>
      <c r="L24" s="7" t="str">
        <f>INDEX(B4:I25,MATCH(21,K4:K25,0),1)</f>
        <v>Brzozów</v>
      </c>
      <c r="M24" s="6">
        <f>INDEX(B4:I25,MATCH(21,K4:K25,0),8)</f>
        <v>17228.571428571428</v>
      </c>
    </row>
    <row r="25" spans="1:13" x14ac:dyDescent="0.25">
      <c r="A25" s="16">
        <v>22</v>
      </c>
      <c r="B25" s="18" t="s">
        <v>100</v>
      </c>
      <c r="C25" s="6">
        <f>SUM(P__!L50)</f>
        <v>13014.846298394708</v>
      </c>
      <c r="D25" s="6">
        <f>SUM(P__!M50)</f>
        <v>7250.3362483994879</v>
      </c>
      <c r="E25" s="6">
        <f>SUM(P__!N50)</f>
        <v>8721.5238630299427</v>
      </c>
      <c r="F25" s="6">
        <f>SUMIF(P__!O50,"&gt;1",(P__!O50))</f>
        <v>17225.128580246917</v>
      </c>
      <c r="G25" s="6">
        <f>SUM(P__!P50)</f>
        <v>29182.742895805139</v>
      </c>
      <c r="H25" s="6">
        <f>SUM(P__!Q50)</f>
        <v>53083.715462184882</v>
      </c>
      <c r="I25" s="369">
        <f>SUM(P__!R50)</f>
        <v>11216.649255202628</v>
      </c>
      <c r="J25" s="7">
        <v>1800</v>
      </c>
      <c r="K25" s="19">
        <f>RANK(I25,$I$4:$I$25,1)+COUNTIF($I$4:I25,I25)-1</f>
        <v>13</v>
      </c>
      <c r="L25" s="7" t="str">
        <f>INDEX(B4:I25,MATCH(22,K4:K25,0),1)</f>
        <v>Ustrzyki Dolne</v>
      </c>
      <c r="M25" s="6">
        <f>INDEX(B4:I25,MATCH(22,K4:K25,0),8)</f>
        <v>18338.249705882354</v>
      </c>
    </row>
    <row r="26" spans="1:13" x14ac:dyDescent="0.25">
      <c r="B26" s="10"/>
      <c r="C26" s="10">
        <v>1</v>
      </c>
      <c r="D26" s="10">
        <v>2</v>
      </c>
      <c r="E26" s="10">
        <v>3</v>
      </c>
      <c r="F26" s="10">
        <v>4</v>
      </c>
      <c r="G26" s="10">
        <v>5</v>
      </c>
      <c r="H26" s="10">
        <v>6</v>
      </c>
      <c r="I26" s="10">
        <v>7</v>
      </c>
    </row>
    <row r="27" spans="1:13" x14ac:dyDescent="0.25">
      <c r="A27" s="16">
        <v>1</v>
      </c>
      <c r="B27" s="17" t="s">
        <v>1</v>
      </c>
      <c r="C27" s="15" t="s">
        <v>152</v>
      </c>
    </row>
    <row r="28" spans="1:13" x14ac:dyDescent="0.25">
      <c r="A28" s="16">
        <v>2</v>
      </c>
      <c r="B28" s="17" t="s">
        <v>2</v>
      </c>
      <c r="C28" s="15" t="s">
        <v>152</v>
      </c>
    </row>
    <row r="29" spans="1:13" x14ac:dyDescent="0.25">
      <c r="A29" s="16">
        <v>3</v>
      </c>
      <c r="B29" s="17" t="s">
        <v>3</v>
      </c>
      <c r="C29" s="15" t="s">
        <v>152</v>
      </c>
    </row>
    <row r="30" spans="1:13" x14ac:dyDescent="0.25">
      <c r="A30" s="16">
        <v>4</v>
      </c>
      <c r="B30" s="17" t="s">
        <v>4</v>
      </c>
      <c r="C30" s="15" t="s">
        <v>152</v>
      </c>
    </row>
    <row r="31" spans="1:13" x14ac:dyDescent="0.25">
      <c r="A31" s="16">
        <v>5</v>
      </c>
      <c r="B31" s="17" t="s">
        <v>16</v>
      </c>
      <c r="C31" s="15" t="s">
        <v>152</v>
      </c>
    </row>
    <row r="32" spans="1:13" x14ac:dyDescent="0.25">
      <c r="A32" s="16">
        <v>6</v>
      </c>
      <c r="B32" s="17" t="s">
        <v>17</v>
      </c>
      <c r="C32" s="15" t="s">
        <v>152</v>
      </c>
    </row>
    <row r="33" spans="1:12" x14ac:dyDescent="0.25">
      <c r="A33" s="348">
        <v>7</v>
      </c>
      <c r="B33" s="368" t="s">
        <v>11</v>
      </c>
      <c r="C33" s="15" t="s">
        <v>152</v>
      </c>
      <c r="J33" s="15"/>
      <c r="K33" s="15"/>
      <c r="L33" s="15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93DC5-529A-4240-9BB8-725C2E40B363}">
  <sheetPr>
    <tabColor theme="5" tint="0.79998168889431442"/>
  </sheetPr>
  <dimension ref="B1:J36"/>
  <sheetViews>
    <sheetView zoomScale="90" zoomScaleNormal="90" workbookViewId="0">
      <selection activeCell="J10" sqref="J10"/>
    </sheetView>
  </sheetViews>
  <sheetFormatPr defaultRowHeight="15" x14ac:dyDescent="0.25"/>
  <cols>
    <col min="1" max="1" width="2" style="8" customWidth="1"/>
    <col min="2" max="2" width="9.140625" style="8"/>
    <col min="3" max="3" width="59.85546875" style="8" customWidth="1"/>
    <col min="4" max="4" width="4.28515625" style="8" customWidth="1"/>
    <col min="5" max="5" width="18" style="8" customWidth="1"/>
    <col min="6" max="6" width="23.28515625" style="8" customWidth="1"/>
    <col min="7" max="7" width="22.5703125" style="8" customWidth="1"/>
    <col min="8" max="8" width="19.5703125" style="8" customWidth="1"/>
    <col min="9" max="9" width="10.42578125" style="13" bestFit="1" customWidth="1"/>
    <col min="10" max="10" width="13.140625" style="8" customWidth="1"/>
    <col min="11" max="16384" width="9.140625" style="8"/>
  </cols>
  <sheetData>
    <row r="1" spans="2:10" x14ac:dyDescent="0.25">
      <c r="B1" s="111" t="s">
        <v>378</v>
      </c>
      <c r="I1" s="8"/>
    </row>
    <row r="2" spans="2:10" ht="52.5" x14ac:dyDescent="0.25">
      <c r="B2" s="666" t="s">
        <v>21</v>
      </c>
      <c r="C2" s="666"/>
      <c r="D2" s="666"/>
      <c r="E2" s="374" t="s">
        <v>322</v>
      </c>
      <c r="F2" s="375" t="s">
        <v>118</v>
      </c>
      <c r="G2" s="375" t="s">
        <v>119</v>
      </c>
      <c r="H2" s="375" t="s">
        <v>120</v>
      </c>
      <c r="I2" s="8"/>
    </row>
    <row r="3" spans="2:10" x14ac:dyDescent="0.25">
      <c r="B3" s="666">
        <v>0</v>
      </c>
      <c r="C3" s="666"/>
      <c r="D3" s="666"/>
      <c r="E3" s="374">
        <v>1</v>
      </c>
      <c r="F3" s="375">
        <v>2</v>
      </c>
      <c r="G3" s="375">
        <v>3</v>
      </c>
      <c r="H3" s="375">
        <v>4</v>
      </c>
      <c r="I3" s="8"/>
    </row>
    <row r="4" spans="2:10" x14ac:dyDescent="0.25">
      <c r="B4" s="661" t="s">
        <v>229</v>
      </c>
      <c r="C4" s="662"/>
      <c r="D4" s="11" t="s">
        <v>27</v>
      </c>
      <c r="E4" s="244">
        <f>SUM('01'!E2,'02'!E2,'03'!E2,'04'!E2,'05'!E2,'06'!E2,'07'!E2,'08'!E2,'09'!E2,'10'!E2,'11'!E2,'12'!E2,'14'!E2,'15'!E2,'63'!E2,'17'!E2,'18'!E2,'19'!E2,'20'!E2,'21'!E2,'62'!E2)/1000</f>
        <v>292043.81695000001</v>
      </c>
      <c r="F4" s="46">
        <f>SUM('01'!F2,'02'!F2,'03'!F2,'04'!F2,'05'!F2,'06'!F2,'07'!F2,'08'!F2,'09'!F2,'10'!F2,'11'!F2,'12'!F2,'14'!F2,'15'!F2,'63'!F2,'17'!F2,'18'!F2,'19'!F2,'20'!F2,'21'!F2,'62'!F2)</f>
        <v>26934</v>
      </c>
      <c r="G4" s="46">
        <f>SUM('01'!G2,'02'!G2,'03'!G2,'04'!G2,'05'!G2,'06'!G2,'07'!G2,'08'!G2,'09'!G2,'10'!G2,'11'!G2,'12'!G2,'14'!G2,'15'!G2,'63'!G2,'17'!G2,'18'!G2,'19'!G2,'20'!G2,'21'!G2,'62'!G2)</f>
        <v>20020</v>
      </c>
      <c r="H4" s="46">
        <f>SUM('01'!H2,'02'!H2,'03'!H2,'04'!H2,'05'!H2,'06'!H2,'07'!H2,'08'!H2,'09'!H2,'10'!H2,'11'!H2,'12'!H2,'14'!H2,'15'!H2,'63'!H2,'17'!H2,'18'!H2,'19'!H2,'20'!H2,'21'!H2,'62'!H2)</f>
        <v>16901</v>
      </c>
      <c r="I4" s="8"/>
    </row>
    <row r="5" spans="2:10" x14ac:dyDescent="0.25">
      <c r="B5" s="656" t="s">
        <v>121</v>
      </c>
      <c r="C5" s="655"/>
      <c r="D5" s="376" t="s">
        <v>28</v>
      </c>
      <c r="E5" s="377">
        <f>SUM('01'!E3,'02'!E3,'03'!E3,'04'!E3,'05'!E3,'06'!E3,'07'!E3,'08'!E3,'09'!E3,'10'!E3,'11'!E3,'12'!E3,'14'!E3,'15'!E3,'63'!E3,'17'!E3,'18'!E3,'19'!E3,'20'!E3,'21'!E3,'62'!E3)/1000</f>
        <v>82696.333379999996</v>
      </c>
      <c r="F5" s="378">
        <f>SUM('01'!F3,'02'!F3,'03'!F3,'04'!F3,'05'!F3,'06'!F3,'07'!F3,'08'!F3,'09'!F3,'10'!F3,'11'!F3,'12'!F3,'14'!F3,'15'!F3,'63'!F3,'17'!F3,'18'!F3,'19'!F3,'20'!F3,'21'!F3,'62'!F3)</f>
        <v>10657</v>
      </c>
      <c r="G5" s="378">
        <f>SUM('01'!G3,'02'!G3,'03'!G3,'04'!G3,'05'!G3,'06'!G3,'07'!G3,'08'!G3,'09'!G3,'10'!G3,'11'!G3,'12'!G3,'14'!G3,'15'!G3,'63'!G3,'17'!G3,'18'!G3,'19'!G3,'20'!G3,'21'!G3,'62'!G3)</f>
        <v>7469</v>
      </c>
      <c r="H5" s="378">
        <f>SUM('01'!H3,'02'!H3,'03'!H3,'04'!H3,'05'!H3,'06'!H3,'07'!H3,'08'!H3,'09'!H3,'10'!H3,'11'!H3,'12'!H3,'14'!H3,'15'!H3,'63'!H3,'17'!H3,'18'!H3,'19'!H3,'20'!H3,'21'!H3,'62'!H3)</f>
        <v>6354</v>
      </c>
      <c r="I5" s="226">
        <f>SUM(H5/G5)*100</f>
        <v>85.071629401526309</v>
      </c>
      <c r="J5" s="228"/>
    </row>
    <row r="6" spans="2:10" x14ac:dyDescent="0.25">
      <c r="B6" s="667" t="s">
        <v>2</v>
      </c>
      <c r="C6" s="665"/>
      <c r="D6" s="376" t="s">
        <v>29</v>
      </c>
      <c r="E6" s="377">
        <f>SUM('01'!E4,'02'!E4,'03'!E4,'04'!E4,'05'!E4,'06'!E4,'07'!E4,'08'!E4,'09'!E4,'10'!E4,'11'!E4,'12'!E4,'14'!E4,'15'!E4,'63'!E4,'17'!E4,'18'!E4,'19'!E4,'20'!E4,'21'!E4,'62'!E4)/1000</f>
        <v>5662.5126100000016</v>
      </c>
      <c r="F6" s="378">
        <f>SUM('01'!F4,'02'!F4,'03'!F4,'04'!F4,'05'!F4,'06'!F4,'07'!F4,'08'!F4,'09'!F4,'10'!F4,'11'!F4,'12'!F4,'14'!F4,'15'!F4,'63'!F4,'17'!F4,'18'!F4,'19'!F4,'20'!F4,'21'!F4,'62'!F4)</f>
        <v>1845</v>
      </c>
      <c r="G6" s="378">
        <f>SUM('01'!G4,'02'!G4,'03'!G4,'04'!G4,'05'!G4,'06'!G4,'07'!G4,'08'!G4,'09'!G4,'10'!G4,'11'!G4,'12'!G4,'14'!G4,'15'!G4,'63'!G4,'17'!G4,'18'!G4,'19'!G4,'20'!G4,'21'!G4,'62'!G4)</f>
        <v>1501</v>
      </c>
      <c r="H6" s="378">
        <f>SUM('01'!H4,'02'!H4,'03'!H4,'04'!H4,'05'!H4,'06'!H4,'07'!H4,'08'!H4,'09'!H4,'10'!H4,'11'!H4,'12'!H4,'14'!H4,'15'!H4,'63'!H4,'17'!H4,'18'!H4,'19'!H4,'20'!H4,'21'!H4,'62'!H4)</f>
        <v>781</v>
      </c>
      <c r="I6" s="226">
        <f t="shared" ref="I6:I30" si="0">SUM(H6/G6)*100</f>
        <v>52.031978680879412</v>
      </c>
    </row>
    <row r="7" spans="2:10" x14ac:dyDescent="0.25">
      <c r="B7" s="665" t="s">
        <v>3</v>
      </c>
      <c r="C7" s="665"/>
      <c r="D7" s="376" t="s">
        <v>30</v>
      </c>
      <c r="E7" s="377">
        <f>SUM('01'!E5,'02'!E5,'03'!E5,'04'!E5,'05'!E5,'06'!E5,'07'!E5,'08'!E5,'09'!E5,'10'!E5,'11'!E5,'12'!E5,'14'!E5,'15'!E5,'63'!E5,'17'!E5,'18'!E5,'19'!E5,'20'!E5,'21'!E5,'62'!E5)/1000</f>
        <v>29417.699989999997</v>
      </c>
      <c r="F7" s="378">
        <f>SUM('01'!F5,'02'!F5,'03'!F5,'04'!F5,'05'!F5,'06'!F5,'07'!F5,'08'!F5,'09'!F5,'10'!F5,'11'!F5,'12'!F5,'14'!F5,'15'!F5,'63'!F5,'17'!F5,'18'!F5,'19'!F5,'20'!F5,'21'!F5,'62'!F5)</f>
        <v>5180</v>
      </c>
      <c r="G7" s="378">
        <f>SUM('01'!G5,'02'!G5,'03'!G5,'04'!G5,'05'!G5,'06'!G5,'07'!G5,'08'!G5,'09'!G5,'10'!G5,'11'!G5,'12'!G5,'14'!G5,'15'!G5,'63'!G5,'17'!G5,'18'!G5,'19'!G5,'20'!G5,'21'!G5,'62'!G5)</f>
        <v>3613</v>
      </c>
      <c r="H7" s="378">
        <f>SUM('01'!H5,'02'!H5,'03'!H5,'04'!H5,'05'!H5,'06'!H5,'07'!H5,'08'!H5,'09'!H5,'10'!H5,'11'!H5,'12'!H5,'14'!H5,'15'!H5,'63'!H5,'17'!H5,'18'!H5,'19'!H5,'20'!H5,'21'!H5,'62'!H5)</f>
        <v>3373</v>
      </c>
      <c r="I7" s="226">
        <f t="shared" si="0"/>
        <v>93.357320786050366</v>
      </c>
    </row>
    <row r="8" spans="2:10" x14ac:dyDescent="0.25">
      <c r="B8" s="660" t="s">
        <v>4</v>
      </c>
      <c r="C8" s="660"/>
      <c r="D8" s="376" t="s">
        <v>31</v>
      </c>
      <c r="E8" s="377">
        <f>SUM('01'!E6,'02'!E6,'03'!E6,'04'!E6,'05'!E6,'06'!E6,'07'!E6,'08'!E6,'09'!E6,'10'!E6,'11'!E6,'12'!E6,'14'!E6,'15'!E6,'63'!E6,'17'!E6,'18'!E6,'19'!E6,'20'!E6,'21'!E6,'62'!E6)/1000</f>
        <v>30695.17913</v>
      </c>
      <c r="F8" s="378">
        <f>SUM('01'!F6,'02'!F6,'03'!F6,'04'!F6,'05'!F6,'06'!F6,'07'!F6,'08'!F6,'09'!F6,'10'!F6,'11'!F6,'12'!F6,'14'!F6,'15'!F6,'63'!F6,'17'!F6,'18'!F6,'19'!F6,'20'!F6,'21'!F6,'62'!F6)</f>
        <v>2172</v>
      </c>
      <c r="G8" s="378">
        <f>SUM('01'!G6,'02'!G6,'03'!G6,'04'!G6,'05'!G6,'06'!G6,'07'!G6,'08'!G6,'09'!G6,'10'!G6,'11'!G6,'12'!G6,'14'!G6,'15'!G6,'63'!G6,'17'!G6,'18'!G6,'19'!G6,'20'!G6,'21'!G6,'62'!G6)</f>
        <v>1891</v>
      </c>
      <c r="H8" s="378">
        <f>SUM('01'!H6,'02'!H6,'03'!H6,'04'!H6,'05'!H6,'06'!H6,'07'!H6,'08'!H6,'09'!H6,'10'!H6,'11'!H6,'12'!H6,'14'!H6,'15'!H6,'63'!H6,'17'!H6,'18'!H6,'19'!H6,'20'!H6,'21'!H6,'62'!H6)</f>
        <v>1782</v>
      </c>
      <c r="I8" s="226">
        <f t="shared" si="0"/>
        <v>94.23585404547859</v>
      </c>
    </row>
    <row r="9" spans="2:10" x14ac:dyDescent="0.25">
      <c r="B9" s="661" t="s">
        <v>5</v>
      </c>
      <c r="C9" s="662"/>
      <c r="D9" s="11" t="s">
        <v>32</v>
      </c>
      <c r="E9" s="244">
        <f>SUM('01'!E7,'02'!E7,'03'!E7,'04'!E7,'05'!E7,'06'!E7,'07'!E7,'08'!E7,'09'!E7,'10'!E7,'11'!E7,'12'!E7,'14'!E7,'15'!E7,'63'!E7,'17'!E7,'18'!E7,'19'!E7,'20'!E7,'21'!E7,'62'!E7)/1000</f>
        <v>798.38209999999992</v>
      </c>
      <c r="F9" s="46">
        <f>SUM('01'!F7,'02'!F7,'03'!F7,'04'!F7,'05'!F7,'06'!F7,'07'!F7,'08'!F7,'09'!F7,'10'!F7,'11'!F7,'12'!F7,'14'!F7,'15'!F7,'63'!F7,'17'!F7,'18'!F7,'19'!F7,'20'!F7,'21'!F7,'62'!F7)</f>
        <v>596</v>
      </c>
      <c r="G9" s="46">
        <f>SUM('01'!G7,'02'!G7,'03'!G7,'04'!G7,'05'!G7,'06'!G7,'07'!G7,'08'!G7,'09'!G7,'10'!G7,'11'!G7,'12'!G7,'14'!G7,'15'!G7,'63'!G7,'17'!G7,'18'!G7,'19'!G7,'20'!G7,'21'!G7,'62'!G7)</f>
        <v>490</v>
      </c>
      <c r="H9" s="46">
        <f>SUM('01'!H7,'02'!H7,'03'!H7,'04'!H7,'05'!H7,'06'!H7,'07'!H7,'08'!H7,'09'!H7,'10'!H7,'11'!H7,'12'!H7,'14'!H7,'15'!H7,'63'!H7,'17'!H7,'18'!H7,'19'!H7,'20'!H7,'21'!H7,'62'!H7)</f>
        <v>36</v>
      </c>
      <c r="I9" s="226">
        <f t="shared" si="0"/>
        <v>7.3469387755102051</v>
      </c>
    </row>
    <row r="10" spans="2:10" x14ac:dyDescent="0.25">
      <c r="B10" s="663" t="s">
        <v>122</v>
      </c>
      <c r="C10" s="663"/>
      <c r="D10" s="11" t="s">
        <v>33</v>
      </c>
      <c r="E10" s="244">
        <f>SUM('01'!E8,'02'!E8,'03'!E8,'04'!E8,'05'!E8,'06'!E8,'07'!E8,'08'!E8,'09'!E8,'10'!E8,'11'!E8,'12'!E8,'14'!E8,'15'!E8,'63'!E8,'17'!E8,'18'!E8,'19'!E8,'20'!E8,'21'!E8,'62'!E8)/1000</f>
        <v>8.5602</v>
      </c>
      <c r="F10" s="46">
        <f>SUM('01'!F8,'02'!F8,'03'!F8,'04'!F8,'05'!F8,'06'!F8,'07'!F8,'08'!F8,'09'!F8,'10'!F8,'11'!F8,'12'!F8,'14'!F8,'15'!F8,'63'!F8,'17'!F8,'18'!F8,'19'!F8,'20'!F8,'21'!F8,'62'!F8)</f>
        <v>18</v>
      </c>
      <c r="G10" s="46">
        <f>SUM('01'!G8,'02'!G8,'03'!G8,'04'!G8,'05'!G8,'06'!G8,'07'!G8,'08'!G8,'09'!G8,'10'!G8,'11'!G8,'12'!G8,'14'!G8,'15'!G8,'63'!G8,'17'!G8,'18'!G8,'19'!G8,'20'!G8,'21'!G8,'62'!G8)</f>
        <v>15</v>
      </c>
      <c r="H10" s="46">
        <f>SUM('01'!H8,'02'!H8,'03'!H8,'04'!H8,'05'!H8,'06'!H8,'07'!H8,'08'!H8,'09'!H8,'10'!H8,'11'!H8,'12'!H8,'14'!H8,'15'!H8,'63'!H8,'17'!H8,'18'!H8,'19'!H8,'20'!H8,'21'!H8,'62'!H8)</f>
        <v>1</v>
      </c>
      <c r="I10" s="226">
        <f t="shared" si="0"/>
        <v>6.666666666666667</v>
      </c>
    </row>
    <row r="11" spans="2:10" x14ac:dyDescent="0.25">
      <c r="B11" s="662" t="s">
        <v>6</v>
      </c>
      <c r="C11" s="662"/>
      <c r="D11" s="11" t="s">
        <v>34</v>
      </c>
      <c r="E11" s="244">
        <f>SUM('01'!E9,'02'!E9,'03'!E9,'04'!E9,'05'!E9,'06'!E9,'07'!E9,'08'!E9,'09'!E9,'10'!E9,'11'!E9,'12'!E9,'14'!E9,'15'!E9,'63'!E9,'17'!E9,'18'!E9,'19'!E9,'20'!E9,'21'!E9,'62'!E9)/1000</f>
        <v>143.34989999999999</v>
      </c>
      <c r="F11" s="46">
        <f>SUM('01'!F9,'02'!F9,'03'!F9,'04'!F9,'05'!F9,'06'!F9,'07'!F9,'08'!F9,'09'!F9,'10'!F9,'11'!F9,'12'!F9,'14'!F9,'15'!F9,'63'!F9,'17'!F9,'18'!F9,'19'!F9,'20'!F9,'21'!F9,'62'!F9)</f>
        <v>22</v>
      </c>
      <c r="G11" s="46">
        <f>SUM('01'!G9,'02'!G9,'03'!G9,'04'!G9,'05'!G9,'06'!G9,'07'!G9,'08'!G9,'09'!G9,'10'!G9,'11'!G9,'12'!G9,'14'!G9,'15'!G9,'63'!G9,'17'!G9,'18'!G9,'19'!G9,'20'!G9,'21'!G9,'62'!G9)</f>
        <v>6</v>
      </c>
      <c r="H11" s="46">
        <f>SUM('01'!H9,'02'!H9,'03'!H9,'04'!H9,'05'!H9,'06'!H9,'07'!H9,'08'!H9,'09'!H9,'10'!H9,'11'!H9,'12'!H9,'14'!H9,'15'!H9,'63'!H9,'17'!H9,'18'!H9,'19'!H9,'20'!H9,'21'!H9,'62'!H9)</f>
        <v>5</v>
      </c>
      <c r="I11" s="226">
        <f t="shared" si="0"/>
        <v>83.333333333333343</v>
      </c>
    </row>
    <row r="12" spans="2:10" x14ac:dyDescent="0.25">
      <c r="B12" s="662" t="s">
        <v>7</v>
      </c>
      <c r="C12" s="662"/>
      <c r="D12" s="11" t="s">
        <v>35</v>
      </c>
      <c r="E12" s="244">
        <f>SUM('01'!E10,'02'!E10,'03'!E10,'04'!E10,'05'!E10,'06'!E10,'07'!E10,'08'!E10,'09'!E10,'10'!E10,'11'!E10,'12'!E10,'14'!E10,'15'!E10,'63'!E10,'17'!E10,'18'!E10,'19'!E10,'20'!E10,'21'!E10,'62'!E10)/1000</f>
        <v>0</v>
      </c>
      <c r="F12" s="46">
        <f>SUM('01'!F10,'02'!F10,'03'!F10,'04'!F10,'05'!F10,'06'!F10,'07'!F10,'08'!F10,'09'!F10,'10'!F10,'11'!F10,'12'!F10,'14'!F10,'15'!F10,'63'!F10,'17'!F10,'18'!F10,'19'!F10,'20'!F10,'21'!F10,'62'!F10)</f>
        <v>0</v>
      </c>
      <c r="G12" s="46">
        <f>SUM('01'!G10,'02'!G10,'03'!G10,'04'!G10,'05'!G10,'06'!G10,'07'!G10,'08'!G10,'09'!G10,'10'!G10,'11'!G10,'12'!G10,'14'!G10,'15'!G10,'63'!G10,'17'!G10,'18'!G10,'19'!G10,'20'!G10,'21'!G10,'62'!G10)</f>
        <v>0</v>
      </c>
      <c r="H12" s="46">
        <f>SUM('01'!H10,'02'!H10,'03'!H10,'04'!H10,'05'!H10,'06'!H10,'07'!H10,'08'!H10,'09'!H10,'10'!H10,'11'!H10,'12'!H10,'14'!H10,'15'!H10,'63'!H10,'17'!H10,'18'!H10,'19'!H10,'20'!H10,'21'!H10,'62'!H10)</f>
        <v>0</v>
      </c>
      <c r="I12" s="226"/>
    </row>
    <row r="13" spans="2:10" x14ac:dyDescent="0.25">
      <c r="B13" s="654" t="s">
        <v>8</v>
      </c>
      <c r="C13" s="654"/>
      <c r="D13" s="11" t="s">
        <v>36</v>
      </c>
      <c r="E13" s="244">
        <f>SUM('01'!E11,'02'!E11,'03'!E11,'04'!E11,'05'!E11,'06'!E11,'07'!E11,'08'!E11,'09'!E11,'10'!E11,'11'!E11,'12'!E11,'14'!E11,'15'!E11,'63'!E11,'17'!E11,'18'!E11,'19'!E11,'20'!E11,'21'!E11,'62'!E11)/1000</f>
        <v>0</v>
      </c>
      <c r="F13" s="46">
        <f>SUM('01'!F11,'02'!F11,'03'!F11,'04'!F11,'05'!F11,'06'!F11,'07'!F11,'08'!F11,'09'!F11,'10'!F11,'11'!F11,'12'!F11,'14'!F11,'15'!F11,'63'!F11,'17'!F11,'18'!F11,'19'!F11,'20'!F11,'21'!F11,'62'!F11)</f>
        <v>0</v>
      </c>
      <c r="G13" s="46">
        <f>SUM('01'!G11,'02'!G11,'03'!G11,'04'!G11,'05'!G11,'06'!G11,'07'!G11,'08'!G11,'09'!G11,'10'!G11,'11'!G11,'12'!G11,'14'!G11,'15'!G11,'63'!G11,'17'!G11,'18'!G11,'19'!G11,'20'!G11,'21'!G11,'62'!G11)</f>
        <v>0</v>
      </c>
      <c r="H13" s="46">
        <f>SUM('01'!H11,'02'!H11,'03'!H11,'04'!H11,'05'!H11,'06'!H11,'07'!H11,'08'!H11,'09'!H11,'10'!H11,'11'!H11,'12'!H11,'14'!H11,'15'!H11,'63'!H11,'17'!H11,'18'!H11,'19'!H11,'20'!H11,'21'!H11,'62'!H11)</f>
        <v>0</v>
      </c>
      <c r="I13" s="226"/>
    </row>
    <row r="14" spans="2:10" x14ac:dyDescent="0.25">
      <c r="B14" s="664" t="s">
        <v>123</v>
      </c>
      <c r="C14" s="664"/>
      <c r="D14" s="11" t="s">
        <v>37</v>
      </c>
      <c r="E14" s="244">
        <f>SUM('01'!E12,'02'!E12,'03'!E12,'04'!E12,'05'!E12,'06'!E12,'07'!E12,'08'!E12,'09'!E12,'10'!E12,'11'!E12,'12'!E12,'14'!E12,'15'!E12,'63'!E12,'17'!E12,'18'!E12,'19'!E12,'20'!E12,'21'!E12,'62'!E12)/1000</f>
        <v>51.862459999999999</v>
      </c>
      <c r="F14" s="46">
        <f>SUM('01'!F12,'02'!F12,'03'!F12,'04'!F12,'05'!F12,'06'!F12,'07'!F12,'08'!F12,'09'!F12,'10'!F12,'11'!F12,'12'!F12,'14'!F12,'15'!F12,'63'!F12,'17'!F12,'18'!F12,'19'!F12,'20'!F12,'21'!F12,'62'!F12)</f>
        <v>18</v>
      </c>
      <c r="G14" s="46">
        <f>SUM('01'!G12,'02'!G12,'03'!G12,'04'!G12,'05'!G12,'06'!G12,'07'!G12,'08'!G12,'09'!G12,'10'!G12,'11'!G12,'12'!G12,'14'!G12,'15'!G12,'63'!G12,'17'!G12,'18'!G12,'19'!G12,'20'!G12,'21'!G12,'62'!G12)</f>
        <v>7</v>
      </c>
      <c r="H14" s="46">
        <f>SUM('01'!H12,'02'!H12,'03'!H12,'04'!H12,'05'!H12,'06'!H12,'07'!H12,'08'!H12,'09'!H12,'10'!H12,'11'!H12,'12'!H12,'14'!H12,'15'!H12,'63'!H12,'17'!H12,'18'!H12,'19'!H12,'20'!H12,'21'!H12,'62'!H12)</f>
        <v>1</v>
      </c>
      <c r="I14" s="226">
        <f t="shared" si="0"/>
        <v>14.285714285714285</v>
      </c>
    </row>
    <row r="15" spans="2:10" x14ac:dyDescent="0.25">
      <c r="B15" s="661" t="s">
        <v>9</v>
      </c>
      <c r="C15" s="662"/>
      <c r="D15" s="11" t="s">
        <v>26</v>
      </c>
      <c r="E15" s="244">
        <f>SUM('01'!E13,'02'!E13,'03'!E13,'04'!E13,'05'!E13,'06'!E13,'07'!E13,'08'!E13,'09'!E13,'10'!E13,'11'!E13,'12'!E13,'14'!E13,'15'!E13,'63'!E13,'17'!E13,'18'!E13,'19'!E13,'20'!E13,'21'!E13,'62'!E13)/1000</f>
        <v>1224.1890699999999</v>
      </c>
      <c r="F15" s="46">
        <f>SUM('01'!F13,'02'!F13,'03'!F13,'04'!F13,'05'!F13,'06'!F13,'07'!F13,'08'!F13,'09'!F13,'10'!F13,'11'!F13,'12'!F13,'14'!F13,'15'!F13,'63'!F13,'17'!F13,'18'!F13,'19'!F13,'20'!F13,'21'!F13,'62'!F13)</f>
        <v>289</v>
      </c>
      <c r="G15" s="46">
        <f>SUM('01'!G13,'02'!G13,'03'!G13,'04'!G13,'05'!G13,'06'!G13,'07'!G13,'08'!G13,'09'!G13,'10'!G13,'11'!G13,'12'!G13,'14'!G13,'15'!G13,'63'!G13,'17'!G13,'18'!G13,'19'!G13,'20'!G13,'21'!G13,'62'!G13)</f>
        <v>124</v>
      </c>
      <c r="H15" s="46">
        <f>SUM('01'!H13,'02'!H13,'03'!H13,'04'!H13,'05'!H13,'06'!H13,'07'!H13,'08'!H13,'09'!H13,'10'!H13,'11'!H13,'12'!H13,'14'!H13,'15'!H13,'63'!H13,'17'!H13,'18'!H13,'19'!H13,'20'!H13,'21'!H13,'62'!H13)</f>
        <v>52</v>
      </c>
      <c r="I15" s="226">
        <f>SUM(H15/G15)*100</f>
        <v>41.935483870967744</v>
      </c>
    </row>
    <row r="16" spans="2:10" x14ac:dyDescent="0.25">
      <c r="B16" s="654" t="s">
        <v>10</v>
      </c>
      <c r="C16" s="654"/>
      <c r="D16" s="11" t="s">
        <v>38</v>
      </c>
      <c r="E16" s="244">
        <f>SUM('01'!E14,'02'!E14,'03'!E14,'04'!E14,'05'!E14,'06'!E14,'07'!E14,'08'!E14,'09'!E14,'10'!E14,'11'!E14,'12'!E14,'14'!E14,'15'!E14,'63'!E14,'17'!E14,'18'!E14,'19'!E14,'20'!E14,'21'!E14,'62'!E14)/1000</f>
        <v>1381.76855</v>
      </c>
      <c r="F16" s="46">
        <f>SUM('01'!F14,'02'!F14,'03'!F14,'04'!F14,'05'!F14,'06'!F14,'07'!F14,'08'!F14,'09'!F14,'10'!F14,'11'!F14,'12'!F14,'14'!F14,'15'!F14,'63'!F14,'17'!F14,'18'!F14,'19'!F14,'20'!F14,'21'!F14,'62'!F14)</f>
        <v>217</v>
      </c>
      <c r="G16" s="46">
        <f>SUM('01'!G14,'02'!G14,'03'!G14,'04'!G14,'05'!G14,'06'!G14,'07'!G14,'08'!G14,'09'!G14,'10'!G14,'11'!G14,'12'!G14,'14'!G14,'15'!G14,'63'!G14,'17'!G14,'18'!G14,'19'!G14,'20'!G14,'21'!G14,'62'!G14)</f>
        <v>124</v>
      </c>
      <c r="H16" s="46">
        <f>SUM('01'!H14,'02'!H14,'03'!H14,'04'!H14,'05'!H14,'06'!H14,'07'!H14,'08'!H14,'09'!H14,'10'!H14,'11'!H14,'12'!H14,'14'!H14,'15'!H14,'63'!H14,'17'!H14,'18'!H14,'19'!H14,'20'!H14,'21'!H14,'62'!H14)</f>
        <v>93</v>
      </c>
      <c r="I16" s="226">
        <f t="shared" si="0"/>
        <v>75</v>
      </c>
    </row>
    <row r="17" spans="2:9" x14ac:dyDescent="0.25">
      <c r="B17" s="665" t="s">
        <v>11</v>
      </c>
      <c r="C17" s="665"/>
      <c r="D17" s="376" t="s">
        <v>39</v>
      </c>
      <c r="E17" s="377">
        <f>SUM('01'!E15,'02'!E15,'03'!E15,'04'!E15,'05'!E15,'06'!E15,'07'!E15,'08'!E15,'09'!E15,'10'!E15,'11'!E15,'12'!E15,'14'!E15,'15'!E15,'63'!E15,'17'!E15,'18'!E15,'19'!E15,'20'!E15,'21'!E15,'62'!E15)/1000</f>
        <v>10240.80077</v>
      </c>
      <c r="F17" s="378">
        <f>SUM('01'!F15,'02'!F15,'03'!F15,'04'!F15,'05'!F15,'06'!F15,'07'!F15,'08'!F15,'09'!F15,'10'!F15,'11'!F15,'12'!F15,'14'!F15,'15'!F15,'63'!F15,'17'!F15,'18'!F15,'19'!F15,'20'!F15,'21'!F15,'62'!F15)</f>
        <v>1132</v>
      </c>
      <c r="G17" s="378">
        <f>SUM('01'!G15,'02'!G15,'03'!G15,'04'!G15,'05'!G15,'06'!G15,'07'!G15,'08'!G15,'09'!G15,'10'!G15,'11'!G15,'12'!G15,'14'!G15,'15'!G15,'63'!G15,'17'!G15,'18'!G15,'19'!G15,'20'!G15,'21'!G15,'62'!G15)</f>
        <v>1001</v>
      </c>
      <c r="H17" s="378">
        <f>SUM('01'!H15,'02'!H15,'03'!H15,'04'!H15,'05'!H15,'06'!H15,'07'!H15,'08'!H15,'09'!H15,'10'!H15,'11'!H15,'12'!H15,'14'!H15,'15'!H15,'63'!H15,'17'!H15,'18'!H15,'19'!H15,'20'!H15,'21'!H15,'62'!H15)</f>
        <v>913</v>
      </c>
      <c r="I17" s="226">
        <f t="shared" si="0"/>
        <v>91.208791208791212</v>
      </c>
    </row>
    <row r="18" spans="2:9" x14ac:dyDescent="0.25">
      <c r="B18" s="653" t="s">
        <v>12</v>
      </c>
      <c r="C18" s="653"/>
      <c r="D18" s="11" t="s">
        <v>40</v>
      </c>
      <c r="E18" s="244">
        <f>SUM('01'!E16,'02'!E16,'03'!E16,'04'!E16,'05'!E16,'06'!E16,'07'!E16,'08'!E16,'09'!E16,'10'!E16,'11'!E16,'12'!E16,'14'!E16,'15'!E16,'63'!E16,'17'!E16,'18'!E16,'19'!E16,'20'!E16,'21'!E16,'62'!E16)/1000</f>
        <v>1696.2226400000002</v>
      </c>
      <c r="F18" s="46">
        <f>SUM('01'!F16,'02'!F16,'03'!F16,'04'!F16,'05'!F16,'06'!F16,'07'!F16,'08'!F16,'09'!F16,'10'!F16,'11'!F16,'12'!F16,'14'!F16,'15'!F16,'63'!F16,'17'!F16,'18'!F16,'19'!F16,'20'!F16,'21'!F16,'62'!F16)</f>
        <v>196</v>
      </c>
      <c r="G18" s="46">
        <f>SUM('01'!G16,'02'!G16,'03'!G16,'04'!G16,'05'!G16,'06'!G16,'07'!G16,'08'!G16,'09'!G16,'10'!G16,'11'!G16,'12'!G16,'14'!G16,'15'!G16,'63'!G16,'17'!G16,'18'!G16,'19'!G16,'20'!G16,'21'!G16,'62'!G16)</f>
        <v>108</v>
      </c>
      <c r="H18" s="46">
        <f>SUM('01'!H16,'02'!H16,'03'!H16,'04'!H16,'05'!H16,'06'!H16,'07'!H16,'08'!H16,'09'!H16,'10'!H16,'11'!H16,'12'!H16,'14'!H16,'15'!H16,'63'!H16,'17'!H16,'18'!H16,'19'!H16,'20'!H16,'21'!H16,'62'!H16)</f>
        <v>89</v>
      </c>
      <c r="I18" s="226">
        <f t="shared" si="0"/>
        <v>82.407407407407405</v>
      </c>
    </row>
    <row r="19" spans="2:9" x14ac:dyDescent="0.25">
      <c r="B19" s="654" t="s">
        <v>13</v>
      </c>
      <c r="C19" s="654"/>
      <c r="D19" s="11" t="s">
        <v>41</v>
      </c>
      <c r="E19" s="244">
        <f>SUM('01'!E17,'02'!E17,'03'!E17,'04'!E17,'05'!E17,'06'!E17,'07'!E17,'08'!E17,'09'!E17,'10'!E17,'11'!E17,'12'!E17,'14'!E17,'15'!E17,'63'!E17,'17'!E17,'18'!E17,'19'!E17,'20'!E17,'21'!E17,'62'!E17)/1000</f>
        <v>12.04</v>
      </c>
      <c r="F19" s="46">
        <f>SUM('01'!F17,'02'!F17,'03'!F17,'04'!F17,'05'!F17,'06'!F17,'07'!F17,'08'!F17,'09'!F17,'10'!F17,'11'!F17,'12'!F17,'14'!F17,'15'!F17,'63'!F17,'17'!F17,'18'!F17,'19'!F17,'20'!F17,'21'!F17,'62'!F17)</f>
        <v>1</v>
      </c>
      <c r="G19" s="46">
        <f>SUM('01'!G17,'02'!G17,'03'!G17,'04'!G17,'05'!G17,'06'!G17,'07'!G17,'08'!G17,'09'!G17,'10'!G17,'11'!G17,'12'!G17,'14'!G17,'15'!G17,'63'!G17,'17'!G17,'18'!G17,'19'!G17,'20'!G17,'21'!G17,'62'!G17)</f>
        <v>1</v>
      </c>
      <c r="H19" s="46">
        <f>SUM('01'!H17,'02'!H17,'03'!H17,'04'!H17,'05'!H17,'06'!H17,'07'!H17,'08'!H17,'09'!H17,'10'!H17,'11'!H17,'12'!H17,'14'!H17,'15'!H17,'63'!H17,'17'!H17,'18'!H17,'19'!H17,'20'!H17,'21'!H17,'62'!H17)</f>
        <v>1</v>
      </c>
      <c r="I19" s="226"/>
    </row>
    <row r="20" spans="2:9" x14ac:dyDescent="0.25">
      <c r="B20" s="653" t="s">
        <v>14</v>
      </c>
      <c r="C20" s="653"/>
      <c r="D20" s="11" t="s">
        <v>42</v>
      </c>
      <c r="E20" s="244">
        <f>SUM('01'!E18,'02'!E18,'03'!E18,'04'!E18,'05'!E18,'06'!E18,'07'!E18,'08'!E18,'09'!E18,'10'!E18,'11'!E18,'12'!E18,'14'!E18,'15'!E18,'63'!E18,'17'!E18,'18'!E18,'19'!E18,'20'!E18,'21'!E18,'62'!E18)/1000</f>
        <v>102.15375</v>
      </c>
      <c r="F20" s="46">
        <f>SUM('01'!F18,'02'!F18,'03'!F18,'04'!F18,'05'!F18,'06'!F18,'07'!F18,'08'!F18,'09'!F18,'10'!F18,'11'!F18,'12'!F18,'14'!F18,'15'!F18,'63'!F18,'17'!F18,'18'!F18,'19'!F18,'20'!F18,'21'!F18,'62'!F18)</f>
        <v>28</v>
      </c>
      <c r="G20" s="46">
        <f>SUM('01'!G18,'02'!G18,'03'!G18,'04'!G18,'05'!G18,'06'!G18,'07'!G18,'08'!G18,'09'!G18,'10'!G18,'11'!G18,'12'!G18,'14'!G18,'15'!G18,'63'!G18,'17'!G18,'18'!G18,'19'!G18,'20'!G18,'21'!G18,'62'!G18)</f>
        <v>24</v>
      </c>
      <c r="H20" s="46">
        <f>SUM('01'!H18,'02'!H18,'03'!H18,'04'!H18,'05'!H18,'06'!H18,'07'!H18,'08'!H18,'09'!H18,'10'!H18,'11'!H18,'12'!H18,'14'!H18,'15'!H18,'63'!H18,'17'!H18,'18'!H18,'19'!H18,'20'!H18,'21'!H18,'62'!H18)</f>
        <v>11</v>
      </c>
      <c r="I20" s="226">
        <f>SUM(H20/G20)*100</f>
        <v>45.833333333333329</v>
      </c>
    </row>
    <row r="21" spans="2:9" x14ac:dyDescent="0.25">
      <c r="B21" s="654" t="s">
        <v>15</v>
      </c>
      <c r="C21" s="654"/>
      <c r="D21" s="11" t="s">
        <v>43</v>
      </c>
      <c r="E21" s="244">
        <f>SUM('01'!E19,'02'!E19,'03'!E19,'04'!E19,'05'!E19,'06'!E19,'07'!E19,'08'!E19,'09'!E19,'10'!E19,'11'!E19,'12'!E19,'14'!E19,'15'!E19,'63'!E19,'17'!E19,'18'!E19,'19'!E19,'20'!E19,'21'!E19,'62'!E19)/1000</f>
        <v>0</v>
      </c>
      <c r="F21" s="46">
        <f>SUM('01'!F19,'02'!F19,'03'!F19,'04'!F19,'05'!F19,'06'!F19,'07'!F19,'08'!F19,'09'!F19,'10'!F19,'11'!F19,'12'!F19,'14'!F19,'15'!F19,'63'!F19,'17'!F19,'18'!F19,'19'!F19,'20'!F19,'21'!F19,'62'!F19)</f>
        <v>0</v>
      </c>
      <c r="G21" s="46">
        <f>SUM('01'!G19,'02'!G19,'03'!G19,'04'!G19,'05'!G19,'06'!G19,'07'!G19,'08'!G19,'09'!G19,'10'!G19,'11'!G19,'12'!G19,'14'!G19,'15'!G19,'63'!G19,'17'!G19,'18'!G19,'19'!G19,'20'!G19,'21'!G19,'62'!G19)</f>
        <v>0</v>
      </c>
      <c r="H21" s="46">
        <f>SUM('01'!H19,'02'!H19,'03'!H19,'04'!H19,'05'!H19,'06'!H19,'07'!H19,'08'!H19,'09'!H19,'10'!H19,'11'!H19,'12'!H19,'14'!H19,'15'!H19,'63'!H19,'17'!H19,'18'!H19,'19'!H19,'20'!H19,'21'!H19,'62'!H19)</f>
        <v>0</v>
      </c>
      <c r="I21" s="226"/>
    </row>
    <row r="22" spans="2:9" x14ac:dyDescent="0.25">
      <c r="B22" s="655" t="s">
        <v>16</v>
      </c>
      <c r="C22" s="655"/>
      <c r="D22" s="376" t="s">
        <v>44</v>
      </c>
      <c r="E22" s="377">
        <f>SUM('01'!E20,'02'!E20,'03'!E20,'04'!E20,'05'!E20,'06'!E20,'07'!E20,'08'!E20,'09'!E20,'10'!E20,'11'!E20,'12'!E20,'14'!E20,'15'!E20,'63'!E20,'17'!E20,'18'!E20,'19'!E20,'20'!E20,'21'!E20,'62'!E20)/1000</f>
        <v>64698.140999999996</v>
      </c>
      <c r="F22" s="378">
        <f>SUM('01'!F20,'02'!F20,'03'!F20,'04'!F20,'05'!F20,'06'!F20,'07'!F20,'08'!F20,'09'!F20,'10'!F20,'11'!F20,'12'!F20,'14'!F20,'15'!F20,'63'!F20,'17'!F20,'18'!F20,'19'!F20,'20'!F20,'21'!F20,'62'!F20)</f>
        <v>2383</v>
      </c>
      <c r="G22" s="378">
        <f>SUM('01'!G20,'02'!G20,'03'!G20,'04'!G20,'05'!G20,'06'!G20,'07'!G20,'08'!G20,'09'!G20,'10'!G20,'11'!G20,'12'!G20,'14'!G20,'15'!G20,'63'!G20,'17'!G20,'18'!G20,'19'!G20,'20'!G20,'21'!G20,'62'!G20)</f>
        <v>2324</v>
      </c>
      <c r="H22" s="378">
        <f>SUM('01'!H20,'02'!H20,'03'!H20,'04'!H20,'05'!H20,'06'!H20,'07'!H20,'08'!H20,'09'!H20,'10'!H20,'11'!H20,'12'!H20,'14'!H20,'15'!H20,'63'!H20,'17'!H20,'18'!H20,'19'!H20,'20'!H20,'21'!H20,'62'!H20)</f>
        <v>2217</v>
      </c>
      <c r="I22" s="226">
        <f>SUM(H22/G22)*100</f>
        <v>95.395869191049911</v>
      </c>
    </row>
    <row r="23" spans="2:9" ht="15.75" customHeight="1" x14ac:dyDescent="0.25">
      <c r="B23" s="12" t="s">
        <v>124</v>
      </c>
      <c r="C23" s="314" t="s">
        <v>125</v>
      </c>
      <c r="D23" s="11" t="s">
        <v>45</v>
      </c>
      <c r="E23" s="244">
        <f>SUM('01'!E21,'02'!E21,'03'!E21,'04'!E21,'05'!E21,'06'!E21,'07'!E21,'08'!E21,'09'!E21,'10'!E21,'11'!E21,'12'!E21,'14'!E21,'15'!E21,'63'!E21,'17'!E21,'18'!E21,'19'!E21,'20'!E21,'21'!E21,'62'!E21)/1000</f>
        <v>0</v>
      </c>
      <c r="F23" s="46">
        <f>SUM('01'!F21,'02'!F21,'03'!F21,'04'!F21,'05'!F21,'06'!F21,'07'!F21,'08'!F21,'09'!F21,'10'!F21,'11'!F21,'12'!F21,'14'!F21,'15'!F21,'63'!F21,'17'!F21,'18'!F21,'19'!F21,'20'!F21,'21'!F21,'62'!F21)</f>
        <v>0</v>
      </c>
      <c r="G23" s="46">
        <f>SUM('01'!G21,'02'!G21,'03'!G21,'04'!G21,'05'!G21,'06'!G21,'07'!G21,'08'!G21,'09'!G21,'10'!G21,'11'!G21,'12'!G21,'14'!G21,'15'!G21,'63'!G21,'17'!G21,'18'!G21,'19'!G21,'20'!G21,'21'!G21,'62'!G21)</f>
        <v>2</v>
      </c>
      <c r="H23" s="46">
        <f>SUM('01'!H21,'02'!H21,'03'!H21,'04'!H21,'05'!H21,'06'!H21,'07'!H21,'08'!H21,'09'!H21,'10'!H21,'11'!H21,'12'!H21,'14'!H21,'15'!H21,'63'!H21,'17'!H21,'18'!H21,'19'!H21,'20'!H21,'21'!H21,'62'!H21)</f>
        <v>2</v>
      </c>
      <c r="I23" s="226"/>
    </row>
    <row r="24" spans="2:9" x14ac:dyDescent="0.25">
      <c r="B24" s="656" t="s">
        <v>17</v>
      </c>
      <c r="C24" s="655"/>
      <c r="D24" s="376" t="s">
        <v>46</v>
      </c>
      <c r="E24" s="377">
        <f>SUM('01'!E22,'02'!E22,'03'!E22,'04'!E22,'05'!E22,'06'!E22,'07'!E22,'08'!E22,'09'!E22,'10'!E22,'11'!E22,'12'!E22,'14'!E22,'15'!E22,'63'!E22,'17'!E22,'18'!E22,'19'!E22,'20'!E22,'21'!E22,'62'!E22)/1000</f>
        <v>63169.621400000004</v>
      </c>
      <c r="F24" s="378">
        <f>SUM('01'!F22,'02'!F22,'03'!F22,'04'!F22,'05'!F22,'06'!F22,'07'!F22,'08'!F22,'09'!F22,'10'!F22,'11'!F22,'12'!F22,'14'!F22,'15'!F22,'63'!F22,'17'!F22,'18'!F22,'19'!F22,'20'!F22,'21'!F22,'62'!F22)</f>
        <v>2178</v>
      </c>
      <c r="G24" s="378">
        <f>SUM('01'!G22,'02'!G22,'03'!G22,'04'!G22,'05'!G22,'06'!G22,'07'!G22,'08'!G22,'09'!G22,'10'!G22,'11'!G22,'12'!G22,'14'!G22,'15'!G22,'63'!G22,'17'!G22,'18'!G22,'19'!G22,'20'!G22,'21'!G22,'62'!G22)</f>
        <v>1318</v>
      </c>
      <c r="H24" s="378">
        <f>SUM('01'!H22,'02'!H22,'03'!H22,'04'!H22,'05'!H22,'06'!H22,'07'!H22,'08'!H22,'09'!H22,'10'!H22,'11'!H22,'12'!H22,'14'!H22,'15'!H22,'63'!H22,'17'!H22,'18'!H22,'19'!H22,'20'!H22,'21'!H22,'62'!H22)</f>
        <v>1190</v>
      </c>
      <c r="I24" s="226">
        <f>SUM(H24/G24)*100</f>
        <v>90.28831562974203</v>
      </c>
    </row>
    <row r="25" spans="2:9" x14ac:dyDescent="0.25">
      <c r="B25" s="12" t="s">
        <v>124</v>
      </c>
      <c r="C25" s="314" t="s">
        <v>125</v>
      </c>
      <c r="D25" s="11" t="s">
        <v>47</v>
      </c>
      <c r="E25" s="244">
        <f>SUM('01'!E23,'02'!E23,'03'!E23,'04'!E23,'05'!E23,'06'!E23,'07'!E23,'08'!E23,'09'!E23,'10'!E23,'11'!E23,'12'!E23,'14'!E23,'15'!E23,'63'!E23,'17'!E23,'18'!E23,'19'!E23,'20'!E23,'21'!E23,'62'!E23)/1000</f>
        <v>0</v>
      </c>
      <c r="F25" s="46">
        <f>SUM('01'!F23,'02'!F23,'03'!F23,'04'!F23,'05'!F23,'06'!F23,'07'!F23,'08'!F23,'09'!F23,'10'!F23,'11'!F23,'12'!F23,'14'!F23,'15'!F23,'63'!F23,'17'!F23,'18'!F23,'19'!F23,'20'!F23,'21'!F23,'62'!F23)</f>
        <v>0</v>
      </c>
      <c r="G25" s="46">
        <f>SUM('01'!G23,'02'!G23,'03'!G23,'04'!G23,'05'!G23,'06'!G23,'07'!G23,'08'!G23,'09'!G23,'10'!G23,'11'!G23,'12'!G23,'14'!G23,'15'!G23,'63'!G23,'17'!G23,'18'!G23,'19'!G23,'20'!G23,'21'!G23,'62'!G23)</f>
        <v>0</v>
      </c>
      <c r="H25" s="46">
        <f>SUM('01'!H23,'02'!H23,'03'!H23,'04'!H23,'05'!H23,'06'!H23,'07'!H23,'08'!H23,'09'!H23,'10'!H23,'11'!H23,'12'!H23,'14'!H23,'15'!H23,'63'!H23,'17'!H23,'18'!H23,'19'!H23,'20'!H23,'21'!H23,'62'!H23)</f>
        <v>0</v>
      </c>
      <c r="I25" s="226"/>
    </row>
    <row r="26" spans="2:9" x14ac:dyDescent="0.25">
      <c r="B26" s="657" t="s">
        <v>18</v>
      </c>
      <c r="C26" s="658"/>
      <c r="D26" s="11" t="s">
        <v>48</v>
      </c>
      <c r="E26" s="244">
        <f>SUM('01'!E24,'02'!E24,'03'!E24,'04'!E24,'05'!E24,'06'!E24,'07'!E24,'08'!E24,'09'!E24,'10'!E24,'11'!E24,'12'!E24,'14'!E24,'15'!E24,'63'!E24,'17'!E24,'18'!E24,'19'!E24,'20'!E24,'21'!E24,'62'!E24)/1000</f>
        <v>0</v>
      </c>
      <c r="F26" s="46">
        <f>SUM('01'!F24,'02'!F24,'03'!F24,'04'!F24,'05'!F24,'06'!F24,'07'!F24,'08'!F24,'09'!F24,'10'!F24,'11'!F24,'12'!F24,'14'!F24,'15'!F24,'63'!F24,'17'!F24,'18'!F24,'19'!F24,'20'!F24,'21'!F24,'62'!F24)</f>
        <v>0</v>
      </c>
      <c r="G26" s="46">
        <f>SUM('01'!G24,'02'!G24,'03'!G24,'04'!G24,'05'!G24,'06'!G24,'07'!G24,'08'!G24,'09'!G24,'10'!G24,'11'!G24,'12'!G24,'14'!G24,'15'!G24,'63'!G24,'17'!G24,'18'!G24,'19'!G24,'20'!G24,'21'!G24,'62'!G24)</f>
        <v>0</v>
      </c>
      <c r="H26" s="46">
        <f>SUM('01'!H24,'02'!H24,'03'!H24,'04'!H24,'05'!H24,'06'!H24,'07'!H24,'08'!H24,'09'!H24,'10'!H24,'11'!H24,'12'!H24,'14'!H24,'15'!H24,'63'!H24,'17'!H24,'18'!H24,'19'!H24,'20'!H24,'21'!H24,'62'!H24)</f>
        <v>0</v>
      </c>
      <c r="I26" s="226"/>
    </row>
    <row r="27" spans="2:9" x14ac:dyDescent="0.25">
      <c r="B27" s="659" t="s">
        <v>230</v>
      </c>
      <c r="C27" s="654"/>
      <c r="D27" s="11">
        <v>24</v>
      </c>
      <c r="E27" s="244">
        <f>SUM('01'!E25,'02'!E25,'03'!E25,'04'!E25,'05'!E25,'06'!E25,'07'!E25,'08'!E25,'09'!E25,'10'!E25,'11'!E25,'12'!E25,'14'!E25,'15'!E25,'63'!E25,'17'!E25,'18'!E25,'19'!E25,'20'!E25,'21'!E25,'62'!E25)/1000</f>
        <v>0</v>
      </c>
      <c r="F27" s="46">
        <f>SUM('01'!F25,'02'!F25,'03'!F25,'04'!F25,'05'!F25,'06'!F25,'07'!F25,'08'!F25,'09'!F25,'10'!F25,'11'!F25,'12'!F25,'14'!F25,'15'!F25,'63'!F25,'17'!F25,'18'!F25,'19'!F25,'20'!F25,'21'!F25,'62'!F25)</f>
        <v>0</v>
      </c>
      <c r="G27" s="46">
        <f>SUM('01'!G25,'02'!G25,'03'!G25,'04'!G25,'05'!G25,'06'!G25,'07'!G25,'08'!G25,'09'!G25,'10'!G25,'11'!G25,'12'!G25,'14'!G25,'15'!G25,'63'!G25,'17'!G25,'18'!G25,'19'!G25,'20'!G25,'21'!G25,'62'!G25)</f>
        <v>1</v>
      </c>
      <c r="H27" s="46">
        <f>SUM('01'!H25,'02'!H25,'03'!H25,'04'!H25,'05'!H25,'06'!H25,'07'!H25,'08'!H25,'09'!H25,'10'!H25,'11'!H25,'12'!H25,'14'!H25,'15'!H25,'63'!H25,'17'!H25,'18'!H25,'19'!H25,'20'!H25,'21'!H25,'62'!H25)</f>
        <v>1</v>
      </c>
      <c r="I27" s="226">
        <f t="shared" si="0"/>
        <v>100</v>
      </c>
    </row>
    <row r="28" spans="2:9" x14ac:dyDescent="0.25">
      <c r="B28" s="651" t="s">
        <v>224</v>
      </c>
      <c r="C28" s="652"/>
      <c r="D28" s="11">
        <v>25</v>
      </c>
      <c r="E28" s="244">
        <f>SUM('01'!E26,'02'!E26,'03'!E26,'04'!E26,'05'!E26,'06'!E26,'07'!E26,'08'!E26,'09'!E26,'10'!E26,'11'!E26,'12'!E26,'14'!E26,'15'!E26,'63'!E26,'17'!E26,'18'!E26,'19'!E26,'20'!E26,'21'!E26,'62'!E26)/1000</f>
        <v>15</v>
      </c>
      <c r="F28" s="46">
        <f>SUM('01'!F26,'02'!F26,'03'!F26,'04'!F26,'05'!F26,'06'!F26,'07'!F26,'08'!F26,'09'!F26,'10'!F26,'11'!F26,'12'!F26,'14'!F26,'15'!F26,'63'!F26,'17'!F26,'18'!F26,'19'!F26,'20'!F26,'21'!F26,'62'!F26)</f>
        <v>1</v>
      </c>
      <c r="G28" s="46">
        <f>SUM('01'!G26,'02'!G26,'03'!G26,'04'!G26,'05'!G26,'06'!G26,'07'!G26,'08'!G26,'09'!G26,'10'!G26,'11'!G26,'12'!G26,'14'!G26,'15'!G26,'63'!G26,'17'!G26,'18'!G26,'19'!G26,'20'!G26,'21'!G26,'62'!G26)</f>
        <v>3</v>
      </c>
      <c r="H28" s="46">
        <f>SUM('01'!H26,'02'!H26,'03'!H26,'04'!H26,'05'!H26,'06'!H26,'07'!H26,'08'!H26,'09'!H26,'10'!H26,'11'!H26,'12'!H26,'14'!H26,'15'!H26,'63'!H26,'17'!H26,'18'!H26,'19'!H26,'20'!H26,'21'!H26,'62'!H26)</f>
        <v>1</v>
      </c>
      <c r="I28" s="226">
        <f t="shared" si="0"/>
        <v>33.333333333333329</v>
      </c>
    </row>
    <row r="29" spans="2:9" x14ac:dyDescent="0.25">
      <c r="B29" s="651" t="s">
        <v>231</v>
      </c>
      <c r="C29" s="652"/>
      <c r="D29" s="11">
        <v>26</v>
      </c>
      <c r="E29" s="244">
        <f>SUM('01'!E27,'02'!E27,'03'!E27,'04'!E27,'05'!E27,'06'!E27,'07'!E27,'08'!E27,'09'!E27,'10'!E27,'11'!E27,'12'!E27,'14'!E27,'15'!E27,'63'!E27,'17'!E27,'18'!E27,'19'!E27,'20'!E27,'21'!E27,'62'!E27)/1000</f>
        <v>30</v>
      </c>
      <c r="F29" s="46">
        <f>SUM('01'!F27,'02'!F27,'03'!F27,'04'!F27,'05'!F27,'06'!F27,'07'!F27,'08'!F27,'09'!F27,'10'!F27,'11'!F27,'12'!F27,'14'!F27,'15'!F27,'63'!F27,'17'!F27,'18'!F27,'19'!F27,'20'!F27,'21'!F27,'62'!F27)</f>
        <v>1</v>
      </c>
      <c r="G29" s="46">
        <f>SUM('01'!G27,'02'!G27,'03'!G27,'04'!G27,'05'!G27,'06'!G27,'07'!G27,'08'!G27,'09'!G27,'10'!G27,'11'!G27,'12'!G27,'14'!G27,'15'!G27,'63'!G27,'17'!G27,'18'!G27,'19'!G27,'20'!G27,'21'!G27,'62'!G27)</f>
        <v>0</v>
      </c>
      <c r="H29" s="46">
        <f>SUM('01'!H27,'02'!H27,'03'!H27,'04'!H27,'05'!H27,'06'!H27,'07'!H27,'08'!H27,'09'!H27,'10'!H27,'11'!H27,'12'!H27,'14'!H27,'15'!H27,'63'!H27,'17'!H27,'18'!H27,'19'!H27,'20'!H27,'21'!H27,'62'!H27)</f>
        <v>0</v>
      </c>
      <c r="I29" s="226"/>
    </row>
    <row r="30" spans="2:9" x14ac:dyDescent="0.25">
      <c r="B30" s="651" t="s">
        <v>225</v>
      </c>
      <c r="C30" s="652"/>
      <c r="D30" s="11">
        <v>27</v>
      </c>
      <c r="E30" s="244">
        <f>SUM('01'!E28,'02'!E28,'03'!E28,'04'!E28,'05'!E28,'06'!E28,'07'!E28,'08'!E28,'09'!E28,'10'!E28,'11'!E28,'12'!E28,'14'!E28,'15'!E28,'63'!E28,'17'!E28,'18'!E28,'19'!E28,'20'!E28,'21'!E28,'62'!E28)/1000</f>
        <v>584087.63390000002</v>
      </c>
      <c r="F30" s="46">
        <f>SUM('01'!F28,'02'!F28,'03'!F28,'04'!F28,'05'!F28,'06'!F28,'07'!F28,'08'!F28,'09'!F28,'10'!F28,'11'!F28,'12'!F28,'14'!F28,'15'!F28,'63'!F28,'17'!F28,'18'!F28,'19'!F28,'20'!F28,'21'!F28,'62'!F28)</f>
        <v>53868</v>
      </c>
      <c r="G30" s="46">
        <f>SUM('01'!G28,'02'!G28,'03'!G28,'04'!G28,'05'!G28,'06'!G28,'07'!G28,'08'!G28,'09'!G28,'10'!G28,'11'!G28,'12'!G28,'14'!G28,'15'!G28,'63'!G28,'17'!G28,'18'!G28,'19'!G28,'20'!G28,'21'!G28,'62'!G28)</f>
        <v>40042</v>
      </c>
      <c r="H30" s="46">
        <f>SUM('01'!H28,'02'!H28,'03'!H28,'04'!H28,'05'!H28,'06'!H28,'07'!H28,'08'!H28,'09'!H28,'10'!H28,'11'!H28,'12'!H28,'14'!H28,'15'!H28,'63'!H28,'17'!H28,'18'!H28,'19'!H28,'20'!H28,'21'!H28,'62'!H28)</f>
        <v>33804</v>
      </c>
      <c r="I30" s="226">
        <f t="shared" si="0"/>
        <v>84.421357574546732</v>
      </c>
    </row>
    <row r="31" spans="2:9" x14ac:dyDescent="0.25">
      <c r="E31" s="245"/>
      <c r="F31" s="47"/>
      <c r="G31" s="47"/>
      <c r="H31" s="47"/>
    </row>
    <row r="32" spans="2:9" x14ac:dyDescent="0.25">
      <c r="B32" s="387" t="s">
        <v>306</v>
      </c>
      <c r="C32" s="379"/>
      <c r="D32" s="380"/>
      <c r="E32" s="381">
        <f>SUM(E5:E8,E22,E24)</f>
        <v>276339.48751000001</v>
      </c>
      <c r="F32" s="382">
        <f>SUM(F5:F8,F22,F24)</f>
        <v>24415</v>
      </c>
      <c r="G32" s="382">
        <f>SUM(G5:G8,G22,G24)</f>
        <v>18116</v>
      </c>
      <c r="H32" s="382">
        <f>SUM(H5:H8,H22,H24)</f>
        <v>15697</v>
      </c>
      <c r="I32" s="226">
        <f>SUM(H32/G32)*100</f>
        <v>86.64716272907927</v>
      </c>
    </row>
    <row r="33" spans="2:10" x14ac:dyDescent="0.25">
      <c r="B33" s="387" t="s">
        <v>306</v>
      </c>
      <c r="C33" s="383"/>
      <c r="D33" s="384"/>
      <c r="E33" s="385">
        <f>SUM('01'!E31,'02'!E31,'03'!E31,'04'!E31,'05'!E31,'06'!E31,'07'!E31,'08'!E31,'09'!E31,'10'!E31,'11'!E31,'12'!E31,'14'!E31,'15'!E31,'63'!E31,'17'!E31,'18'!E31,'19'!E31,'20'!E31,'21'!E31,'62'!E31)</f>
        <v>276339487.50999999</v>
      </c>
      <c r="F33" s="386">
        <f>SUM('01'!F31,'02'!F31,'03'!F31,'04'!F31,'05'!F31,'06'!F31,'07'!F31,'08'!F31,'09'!F31,'10'!F31,'11'!F31,'12'!F31,'14'!F31,'15'!F31,'63'!F31,'17'!F31,'18'!F31,'19'!F31,'20'!F31,'21'!F31,'62'!F31)</f>
        <v>24415</v>
      </c>
      <c r="G33" s="384">
        <f>SUM('01'!G31,'02'!G31,'03'!G31,'04'!G31,'05'!G31,'06'!G31,'07'!G31,'08'!G31,'09'!G31,'10'!G31,'11'!G31,'12'!G31,'14'!G31,'15'!G31,'63'!G31,'17'!G31,'18'!G31,'19'!G31,'20'!G31,'21'!G31,'62'!G31)</f>
        <v>18116</v>
      </c>
      <c r="H33" s="384">
        <f>SUM('01'!H31,'02'!H31,'03'!H31,'04'!H31,'05'!H31,'06'!H31,'07'!H31,'08'!H31,'09'!H31,'10'!H31,'11'!H31,'12'!H31,'14'!H31,'15'!H31,'63'!H31,'17'!H31,'18'!H31,'19'!H31,'20'!H31,'21'!H31,'62'!H31)</f>
        <v>15697</v>
      </c>
      <c r="I33" s="226"/>
    </row>
    <row r="34" spans="2:10" x14ac:dyDescent="0.25">
      <c r="E34" s="245"/>
      <c r="I34" s="226"/>
      <c r="J34" s="226">
        <f>SUM(E32)/H32*1000</f>
        <v>17604.605179970695</v>
      </c>
    </row>
    <row r="35" spans="2:10" x14ac:dyDescent="0.25">
      <c r="B35" s="387" t="s">
        <v>307</v>
      </c>
      <c r="C35" s="379"/>
      <c r="D35" s="380"/>
      <c r="E35" s="381">
        <f>SUM(E5:E8,E17,E22,E24)</f>
        <v>286580.28827999998</v>
      </c>
      <c r="F35" s="382">
        <f>SUM(F5:F8,F17,F22,F24)</f>
        <v>25547</v>
      </c>
      <c r="G35" s="382">
        <f>SUM(G5:G8,G17,G22,G24)</f>
        <v>19117</v>
      </c>
      <c r="H35" s="382">
        <f>SUM(H5:H8,H17,H22,H24)</f>
        <v>16610</v>
      </c>
      <c r="I35" s="226">
        <f>SUM(H35/G35)*100</f>
        <v>86.886017680598414</v>
      </c>
      <c r="J35" s="226">
        <f>SUM(E35)/H35*1000</f>
        <v>17253.479125827813</v>
      </c>
    </row>
    <row r="36" spans="2:10" x14ac:dyDescent="0.25">
      <c r="B36" s="387"/>
      <c r="C36" s="383"/>
      <c r="D36" s="384"/>
      <c r="E36" s="385">
        <f>SUM('01'!E34,'02'!E34,'03'!E34,'04'!E34,'05'!E34,'06'!E34,'07'!E34,'08'!E34,'09'!E34,'10'!E34,'11'!E34,'12'!E34,'14'!E34,'15'!E34,'63'!E34,'17'!E34,'18'!E34,'19'!E34,'20'!E34,'21'!E34,'62'!E34)/1000</f>
        <v>286580.28827999998</v>
      </c>
      <c r="F36" s="386">
        <f>SUM('01'!F34,'02'!F34,'03'!F34,'04'!F34,'05'!F34,'06'!F34,'07'!F34,'08'!F34,'09'!F34,'10'!F34,'11'!F34,'12'!F34,'14'!F34,'15'!F34,'63'!F34,'17'!F34,'18'!F34,'19'!F34,'20'!F34,'21'!F34,'62'!F34)</f>
        <v>25547</v>
      </c>
      <c r="G36" s="384">
        <f>SUM('01'!G34,'02'!G34,'03'!G34,'04'!G34,'05'!G34,'06'!G34,'07'!G34,'08'!G34,'09'!G34,'10'!G34,'11'!G34,'12'!G34,'14'!G34,'15'!G34,'63'!G34,'17'!G34,'18'!G34,'19'!G34,'20'!G34,'21'!G34,'62'!G34)</f>
        <v>19117</v>
      </c>
      <c r="H36" s="384">
        <f>SUM('01'!H34,'02'!H34,'03'!H34,'04'!H34,'05'!H34,'06'!H34,'07'!H34,'08'!H34,'09'!H34,'10'!H34,'11'!H34,'12'!H34,'14'!H34,'15'!H34,'63'!H34,'17'!H34,'18'!H34,'19'!H34,'20'!H34,'21'!H34,'62'!H34)</f>
        <v>16610</v>
      </c>
      <c r="I36" s="8"/>
      <c r="J36" s="226">
        <f>SUM(E5)/H5*1000</f>
        <v>13014.846298394712</v>
      </c>
    </row>
  </sheetData>
  <mergeCells count="27">
    <mergeCell ref="B7:C7"/>
    <mergeCell ref="B2:D2"/>
    <mergeCell ref="B3:D3"/>
    <mergeCell ref="B4:C4"/>
    <mergeCell ref="B5:C5"/>
    <mergeCell ref="B6:C6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8:C28"/>
    <mergeCell ref="B29:C29"/>
    <mergeCell ref="B30:C30"/>
    <mergeCell ref="B20:C20"/>
    <mergeCell ref="B21:C21"/>
    <mergeCell ref="B22:C22"/>
    <mergeCell ref="B24:C24"/>
    <mergeCell ref="B26:C26"/>
    <mergeCell ref="B27:C27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5" tint="0.79998168889431442"/>
    <pageSetUpPr fitToPage="1"/>
  </sheetPr>
  <dimension ref="B1:J36"/>
  <sheetViews>
    <sheetView zoomScale="90" zoomScaleNormal="90" workbookViewId="0">
      <selection activeCell="B1" sqref="B1"/>
    </sheetView>
  </sheetViews>
  <sheetFormatPr defaultRowHeight="15" x14ac:dyDescent="0.25"/>
  <cols>
    <col min="1" max="1" width="2" style="8" customWidth="1"/>
    <col min="2" max="2" width="9.140625" style="8"/>
    <col min="3" max="3" width="59.85546875" style="8" customWidth="1"/>
    <col min="4" max="4" width="4.28515625" style="8" customWidth="1"/>
    <col min="5" max="5" width="18" style="8" customWidth="1"/>
    <col min="6" max="6" width="23.28515625" style="8" customWidth="1"/>
    <col min="7" max="7" width="22.5703125" style="8" customWidth="1"/>
    <col min="8" max="8" width="19.5703125" style="8" customWidth="1"/>
    <col min="9" max="9" width="10.42578125" style="13" bestFit="1" customWidth="1"/>
    <col min="10" max="10" width="13.140625" style="8" customWidth="1"/>
    <col min="11" max="16384" width="9.140625" style="8"/>
  </cols>
  <sheetData>
    <row r="1" spans="2:10" x14ac:dyDescent="0.25">
      <c r="B1" s="111" t="s">
        <v>327</v>
      </c>
      <c r="I1" s="8"/>
    </row>
    <row r="2" spans="2:10" ht="52.5" x14ac:dyDescent="0.25">
      <c r="B2" s="666" t="s">
        <v>21</v>
      </c>
      <c r="C2" s="666"/>
      <c r="D2" s="666"/>
      <c r="E2" s="374" t="s">
        <v>322</v>
      </c>
      <c r="F2" s="375" t="s">
        <v>118</v>
      </c>
      <c r="G2" s="375" t="s">
        <v>119</v>
      </c>
      <c r="H2" s="375" t="s">
        <v>120</v>
      </c>
      <c r="I2" s="8"/>
    </row>
    <row r="3" spans="2:10" x14ac:dyDescent="0.25">
      <c r="B3" s="666">
        <v>0</v>
      </c>
      <c r="C3" s="666"/>
      <c r="D3" s="666"/>
      <c r="E3" s="374">
        <v>1</v>
      </c>
      <c r="F3" s="375">
        <v>2</v>
      </c>
      <c r="G3" s="375">
        <v>3</v>
      </c>
      <c r="H3" s="375">
        <v>4</v>
      </c>
      <c r="I3" s="8"/>
    </row>
    <row r="4" spans="2:10" x14ac:dyDescent="0.25">
      <c r="B4" s="661" t="s">
        <v>229</v>
      </c>
      <c r="C4" s="662"/>
      <c r="D4" s="11" t="s">
        <v>27</v>
      </c>
      <c r="E4" s="244">
        <v>227913.85516000006</v>
      </c>
      <c r="F4" s="46">
        <v>24173</v>
      </c>
      <c r="G4" s="46">
        <v>17081</v>
      </c>
      <c r="H4" s="46">
        <v>14814</v>
      </c>
      <c r="I4" s="8"/>
    </row>
    <row r="5" spans="2:10" x14ac:dyDescent="0.25">
      <c r="B5" s="656" t="s">
        <v>121</v>
      </c>
      <c r="C5" s="655"/>
      <c r="D5" s="376" t="s">
        <v>28</v>
      </c>
      <c r="E5" s="377">
        <v>72411.543540000013</v>
      </c>
      <c r="F5" s="378">
        <v>10106</v>
      </c>
      <c r="G5" s="378">
        <v>6856</v>
      </c>
      <c r="H5" s="378">
        <v>5889</v>
      </c>
      <c r="I5" s="226">
        <f>SUM(H5/G5)*100</f>
        <v>85.895565927654602</v>
      </c>
      <c r="J5" s="228"/>
    </row>
    <row r="6" spans="2:10" x14ac:dyDescent="0.25">
      <c r="B6" s="667" t="s">
        <v>2</v>
      </c>
      <c r="C6" s="665"/>
      <c r="D6" s="376" t="s">
        <v>29</v>
      </c>
      <c r="E6" s="377">
        <v>3462.46317</v>
      </c>
      <c r="F6" s="378">
        <v>954</v>
      </c>
      <c r="G6" s="378">
        <v>793</v>
      </c>
      <c r="H6" s="378">
        <v>523</v>
      </c>
      <c r="I6" s="226">
        <f t="shared" ref="I6:I30" si="0">SUM(H6/G6)*100</f>
        <v>65.952080706179061</v>
      </c>
    </row>
    <row r="7" spans="2:10" x14ac:dyDescent="0.25">
      <c r="B7" s="665" t="s">
        <v>3</v>
      </c>
      <c r="C7" s="665"/>
      <c r="D7" s="376" t="s">
        <v>30</v>
      </c>
      <c r="E7" s="377">
        <v>25483.716619999996</v>
      </c>
      <c r="F7" s="378">
        <v>4950</v>
      </c>
      <c r="G7" s="378">
        <v>2960</v>
      </c>
      <c r="H7" s="378">
        <v>2796</v>
      </c>
      <c r="I7" s="226">
        <f t="shared" si="0"/>
        <v>94.459459459459467</v>
      </c>
    </row>
    <row r="8" spans="2:10" x14ac:dyDescent="0.25">
      <c r="B8" s="660" t="s">
        <v>4</v>
      </c>
      <c r="C8" s="660"/>
      <c r="D8" s="376" t="s">
        <v>31</v>
      </c>
      <c r="E8" s="377">
        <v>20822.31018</v>
      </c>
      <c r="F8" s="378">
        <v>1817</v>
      </c>
      <c r="G8" s="378">
        <v>1561</v>
      </c>
      <c r="H8" s="378">
        <v>1487</v>
      </c>
      <c r="I8" s="226">
        <f t="shared" si="0"/>
        <v>95.259449071108264</v>
      </c>
    </row>
    <row r="9" spans="2:10" x14ac:dyDescent="0.25">
      <c r="B9" s="661" t="s">
        <v>5</v>
      </c>
      <c r="C9" s="662"/>
      <c r="D9" s="11" t="s">
        <v>32</v>
      </c>
      <c r="E9" s="244">
        <v>797.64409999999975</v>
      </c>
      <c r="F9" s="46">
        <v>633</v>
      </c>
      <c r="G9" s="46">
        <v>523</v>
      </c>
      <c r="H9" s="46">
        <v>59</v>
      </c>
      <c r="I9" s="226">
        <f t="shared" si="0"/>
        <v>11.281070745697896</v>
      </c>
    </row>
    <row r="10" spans="2:10" x14ac:dyDescent="0.25">
      <c r="B10" s="663" t="s">
        <v>122</v>
      </c>
      <c r="C10" s="663"/>
      <c r="D10" s="11" t="s">
        <v>33</v>
      </c>
      <c r="E10" s="244">
        <v>8.2207800000000013</v>
      </c>
      <c r="F10" s="46">
        <v>18</v>
      </c>
      <c r="G10" s="46">
        <v>14</v>
      </c>
      <c r="H10" s="46">
        <v>1</v>
      </c>
      <c r="I10" s="226">
        <f t="shared" si="0"/>
        <v>7.1428571428571423</v>
      </c>
    </row>
    <row r="11" spans="2:10" x14ac:dyDescent="0.25">
      <c r="B11" s="662" t="s">
        <v>6</v>
      </c>
      <c r="C11" s="662"/>
      <c r="D11" s="11" t="s">
        <v>34</v>
      </c>
      <c r="E11" s="244">
        <v>48.573960000000007</v>
      </c>
      <c r="F11" s="46">
        <v>13</v>
      </c>
      <c r="G11" s="46">
        <v>1</v>
      </c>
      <c r="H11" s="46">
        <v>1</v>
      </c>
      <c r="I11" s="226">
        <f t="shared" si="0"/>
        <v>100</v>
      </c>
    </row>
    <row r="12" spans="2:10" x14ac:dyDescent="0.25">
      <c r="B12" s="662" t="s">
        <v>7</v>
      </c>
      <c r="C12" s="662"/>
      <c r="D12" s="11" t="s">
        <v>35</v>
      </c>
      <c r="E12" s="244">
        <v>0</v>
      </c>
      <c r="F12" s="46">
        <v>0</v>
      </c>
      <c r="G12" s="46">
        <v>0</v>
      </c>
      <c r="H12" s="46">
        <v>0</v>
      </c>
      <c r="I12" s="226"/>
    </row>
    <row r="13" spans="2:10" x14ac:dyDescent="0.25">
      <c r="B13" s="654" t="s">
        <v>8</v>
      </c>
      <c r="C13" s="654"/>
      <c r="D13" s="11" t="s">
        <v>36</v>
      </c>
      <c r="E13" s="244">
        <v>0</v>
      </c>
      <c r="F13" s="46">
        <v>0</v>
      </c>
      <c r="G13" s="46">
        <v>0</v>
      </c>
      <c r="H13" s="46">
        <v>0</v>
      </c>
      <c r="I13" s="226"/>
    </row>
    <row r="14" spans="2:10" x14ac:dyDescent="0.25">
      <c r="B14" s="664" t="s">
        <v>123</v>
      </c>
      <c r="C14" s="664"/>
      <c r="D14" s="11" t="s">
        <v>37</v>
      </c>
      <c r="E14" s="244">
        <v>12.96785</v>
      </c>
      <c r="F14" s="46">
        <v>5</v>
      </c>
      <c r="G14" s="46">
        <v>4</v>
      </c>
      <c r="H14" s="46">
        <v>4</v>
      </c>
      <c r="I14" s="226">
        <f t="shared" si="0"/>
        <v>100</v>
      </c>
    </row>
    <row r="15" spans="2:10" x14ac:dyDescent="0.25">
      <c r="B15" s="661" t="s">
        <v>9</v>
      </c>
      <c r="C15" s="662"/>
      <c r="D15" s="11" t="s">
        <v>26</v>
      </c>
      <c r="E15" s="244">
        <v>644.87469999999996</v>
      </c>
      <c r="F15" s="46">
        <v>178</v>
      </c>
      <c r="G15" s="46">
        <v>85</v>
      </c>
      <c r="H15" s="46">
        <v>35</v>
      </c>
      <c r="I15" s="226">
        <f>SUM(H15/G15)*100</f>
        <v>41.17647058823529</v>
      </c>
    </row>
    <row r="16" spans="2:10" x14ac:dyDescent="0.25">
      <c r="B16" s="654" t="s">
        <v>10</v>
      </c>
      <c r="C16" s="654"/>
      <c r="D16" s="11" t="s">
        <v>38</v>
      </c>
      <c r="E16" s="244">
        <v>1365.74521</v>
      </c>
      <c r="F16" s="46">
        <v>181</v>
      </c>
      <c r="G16" s="46">
        <v>56</v>
      </c>
      <c r="H16" s="46">
        <v>48</v>
      </c>
      <c r="I16" s="226">
        <f t="shared" si="0"/>
        <v>85.714285714285708</v>
      </c>
    </row>
    <row r="17" spans="2:9" x14ac:dyDescent="0.25">
      <c r="B17" s="665" t="s">
        <v>11</v>
      </c>
      <c r="C17" s="665"/>
      <c r="D17" s="376" t="s">
        <v>39</v>
      </c>
      <c r="E17" s="377">
        <v>8086.4974599999996</v>
      </c>
      <c r="F17" s="378">
        <v>993</v>
      </c>
      <c r="G17" s="378">
        <v>914</v>
      </c>
      <c r="H17" s="378">
        <v>864</v>
      </c>
      <c r="I17" s="226">
        <f t="shared" si="0"/>
        <v>94.529540481400446</v>
      </c>
    </row>
    <row r="18" spans="2:9" x14ac:dyDescent="0.25">
      <c r="B18" s="653" t="s">
        <v>12</v>
      </c>
      <c r="C18" s="653"/>
      <c r="D18" s="11" t="s">
        <v>40</v>
      </c>
      <c r="E18" s="244">
        <v>1445.73534</v>
      </c>
      <c r="F18" s="46">
        <v>193</v>
      </c>
      <c r="G18" s="46">
        <v>79</v>
      </c>
      <c r="H18" s="46">
        <v>67</v>
      </c>
      <c r="I18" s="226">
        <f t="shared" si="0"/>
        <v>84.810126582278471</v>
      </c>
    </row>
    <row r="19" spans="2:9" x14ac:dyDescent="0.25">
      <c r="B19" s="654" t="s">
        <v>13</v>
      </c>
      <c r="C19" s="654"/>
      <c r="D19" s="11" t="s">
        <v>41</v>
      </c>
      <c r="E19" s="244">
        <v>13</v>
      </c>
      <c r="F19" s="46">
        <v>1</v>
      </c>
      <c r="G19" s="46">
        <v>0</v>
      </c>
      <c r="H19" s="46">
        <v>0</v>
      </c>
      <c r="I19" s="226"/>
    </row>
    <row r="20" spans="2:9" x14ac:dyDescent="0.25">
      <c r="B20" s="653" t="s">
        <v>14</v>
      </c>
      <c r="C20" s="653"/>
      <c r="D20" s="11" t="s">
        <v>42</v>
      </c>
      <c r="E20" s="244">
        <v>11.678240000000001</v>
      </c>
      <c r="F20" s="46">
        <v>4</v>
      </c>
      <c r="G20" s="46">
        <v>3</v>
      </c>
      <c r="H20" s="46">
        <v>1</v>
      </c>
      <c r="I20" s="226">
        <f>SUM(H20/G20)*100</f>
        <v>33.333333333333329</v>
      </c>
    </row>
    <row r="21" spans="2:9" x14ac:dyDescent="0.25">
      <c r="B21" s="654" t="s">
        <v>15</v>
      </c>
      <c r="C21" s="654"/>
      <c r="D21" s="11" t="s">
        <v>43</v>
      </c>
      <c r="E21" s="244">
        <v>0</v>
      </c>
      <c r="F21" s="46">
        <v>0</v>
      </c>
      <c r="G21" s="46">
        <v>0</v>
      </c>
      <c r="H21" s="46">
        <v>0</v>
      </c>
      <c r="I21" s="226"/>
    </row>
    <row r="22" spans="2:9" x14ac:dyDescent="0.25">
      <c r="B22" s="655" t="s">
        <v>16</v>
      </c>
      <c r="C22" s="655"/>
      <c r="D22" s="376" t="s">
        <v>44</v>
      </c>
      <c r="E22" s="377">
        <v>50336.901399999995</v>
      </c>
      <c r="F22" s="378">
        <v>2256</v>
      </c>
      <c r="G22" s="378">
        <v>1625</v>
      </c>
      <c r="H22" s="378">
        <v>1579</v>
      </c>
      <c r="I22" s="226">
        <f>SUM(H22/G22)*100</f>
        <v>97.169230769230779</v>
      </c>
    </row>
    <row r="23" spans="2:9" ht="15.75" customHeight="1" x14ac:dyDescent="0.25">
      <c r="B23" s="12" t="s">
        <v>124</v>
      </c>
      <c r="C23" s="160" t="s">
        <v>125</v>
      </c>
      <c r="D23" s="11" t="s">
        <v>45</v>
      </c>
      <c r="E23" s="244">
        <v>0</v>
      </c>
      <c r="F23" s="46">
        <v>0</v>
      </c>
      <c r="G23" s="46">
        <v>0</v>
      </c>
      <c r="H23" s="46">
        <v>0</v>
      </c>
      <c r="I23" s="226"/>
    </row>
    <row r="24" spans="2:9" x14ac:dyDescent="0.25">
      <c r="B24" s="656" t="s">
        <v>17</v>
      </c>
      <c r="C24" s="655"/>
      <c r="D24" s="376" t="s">
        <v>46</v>
      </c>
      <c r="E24" s="377">
        <v>42932.378389999998</v>
      </c>
      <c r="F24" s="378">
        <v>1869</v>
      </c>
      <c r="G24" s="378">
        <v>1599</v>
      </c>
      <c r="H24" s="378">
        <v>1453</v>
      </c>
      <c r="I24" s="226">
        <f>SUM(H24/G24)*100</f>
        <v>90.869293308317694</v>
      </c>
    </row>
    <row r="25" spans="2:9" x14ac:dyDescent="0.25">
      <c r="B25" s="12" t="s">
        <v>124</v>
      </c>
      <c r="C25" s="160" t="s">
        <v>125</v>
      </c>
      <c r="D25" s="11" t="s">
        <v>47</v>
      </c>
      <c r="E25" s="244">
        <v>0</v>
      </c>
      <c r="F25" s="46">
        <v>0</v>
      </c>
      <c r="G25" s="46">
        <v>0</v>
      </c>
      <c r="H25" s="46">
        <v>0</v>
      </c>
      <c r="I25" s="226"/>
    </row>
    <row r="26" spans="2:9" x14ac:dyDescent="0.25">
      <c r="B26" s="657" t="s">
        <v>18</v>
      </c>
      <c r="C26" s="658"/>
      <c r="D26" s="11" t="s">
        <v>48</v>
      </c>
      <c r="E26" s="244">
        <v>0</v>
      </c>
      <c r="F26" s="46">
        <v>0</v>
      </c>
      <c r="G26" s="46">
        <v>0</v>
      </c>
      <c r="H26" s="46">
        <v>0</v>
      </c>
      <c r="I26" s="226"/>
    </row>
    <row r="27" spans="2:9" x14ac:dyDescent="0.25">
      <c r="B27" s="659" t="s">
        <v>230</v>
      </c>
      <c r="C27" s="654"/>
      <c r="D27" s="11">
        <v>24</v>
      </c>
      <c r="E27" s="244">
        <v>0</v>
      </c>
      <c r="F27" s="46">
        <v>0</v>
      </c>
      <c r="G27" s="46">
        <v>7</v>
      </c>
      <c r="H27" s="46">
        <v>6</v>
      </c>
      <c r="I27" s="226">
        <f t="shared" si="0"/>
        <v>85.714285714285708</v>
      </c>
    </row>
    <row r="28" spans="2:9" x14ac:dyDescent="0.25">
      <c r="B28" s="651" t="s">
        <v>224</v>
      </c>
      <c r="C28" s="652"/>
      <c r="D28" s="11">
        <v>25</v>
      </c>
      <c r="E28" s="244">
        <v>29.604220000000002</v>
      </c>
      <c r="F28" s="46">
        <v>2</v>
      </c>
      <c r="G28" s="46">
        <v>1</v>
      </c>
      <c r="H28" s="46">
        <v>1</v>
      </c>
      <c r="I28" s="226">
        <f t="shared" si="0"/>
        <v>100</v>
      </c>
    </row>
    <row r="29" spans="2:9" x14ac:dyDescent="0.25">
      <c r="B29" s="651" t="s">
        <v>231</v>
      </c>
      <c r="C29" s="652"/>
      <c r="D29" s="11">
        <v>26</v>
      </c>
      <c r="E29" s="244">
        <v>0</v>
      </c>
      <c r="F29" s="46">
        <v>0</v>
      </c>
      <c r="G29" s="46">
        <v>0</v>
      </c>
      <c r="H29" s="46">
        <v>0</v>
      </c>
      <c r="I29" s="226"/>
    </row>
    <row r="30" spans="2:9" x14ac:dyDescent="0.25">
      <c r="B30" s="651" t="s">
        <v>225</v>
      </c>
      <c r="C30" s="652"/>
      <c r="D30" s="11">
        <v>27</v>
      </c>
      <c r="E30" s="244">
        <v>455827.71032000013</v>
      </c>
      <c r="F30" s="46">
        <v>48346</v>
      </c>
      <c r="G30" s="46">
        <v>34162</v>
      </c>
      <c r="H30" s="46">
        <v>29628</v>
      </c>
      <c r="I30" s="226">
        <f t="shared" si="0"/>
        <v>86.727943328844916</v>
      </c>
    </row>
    <row r="31" spans="2:9" x14ac:dyDescent="0.25">
      <c r="E31" s="245"/>
      <c r="F31" s="47"/>
      <c r="G31" s="47"/>
      <c r="H31" s="47"/>
    </row>
    <row r="32" spans="2:9" x14ac:dyDescent="0.25">
      <c r="B32" s="387" t="s">
        <v>306</v>
      </c>
      <c r="C32" s="379"/>
      <c r="D32" s="380"/>
      <c r="E32" s="381">
        <f>SUM(E5:E8,E22,E24)</f>
        <v>215449.31330000001</v>
      </c>
      <c r="F32" s="382">
        <f>SUM(F5:F8,F22,F24)</f>
        <v>21952</v>
      </c>
      <c r="G32" s="382">
        <f>SUM(G5:G8,G22,G24)</f>
        <v>15394</v>
      </c>
      <c r="H32" s="382">
        <f>SUM(H5:H8,H22,H24)</f>
        <v>13727</v>
      </c>
      <c r="I32" s="226">
        <f>SUM(H32/G32)*100</f>
        <v>89.171105625568401</v>
      </c>
    </row>
    <row r="33" spans="2:10" x14ac:dyDescent="0.25">
      <c r="B33" s="387" t="s">
        <v>306</v>
      </c>
      <c r="C33" s="383"/>
      <c r="D33" s="384"/>
      <c r="E33" s="385">
        <f>SUM('01'!E31,'02'!E31,'03'!E31,'04'!E31,'05'!E31,'06'!E31,'07'!E31,'08'!E31,'09'!E31,'10'!E31,'11'!E31,'12'!E31,'14'!E31,'15'!E31,'63'!E31,'17'!E31,'18'!E31,'19'!E31,'20'!E31,'21'!E31,'62'!E31)</f>
        <v>276339487.50999999</v>
      </c>
      <c r="F33" s="386">
        <f>SUM('01'!F31,'02'!F31,'03'!F31,'04'!F31,'05'!F31,'06'!F31,'07'!F31,'08'!F31,'09'!F31,'10'!F31,'11'!F31,'12'!F31,'14'!F31,'15'!F31,'63'!F31,'17'!F31,'18'!F31,'19'!F31,'20'!F31,'21'!F31,'62'!F31)</f>
        <v>24415</v>
      </c>
      <c r="G33" s="384">
        <f>SUM('01'!G31,'02'!G31,'03'!G31,'04'!G31,'05'!G31,'06'!G31,'07'!G31,'08'!G31,'09'!G31,'10'!G31,'11'!G31,'12'!G31,'14'!G31,'15'!G31,'63'!G31,'17'!G31,'18'!G31,'19'!G31,'20'!G31,'21'!G31,'62'!G31)</f>
        <v>18116</v>
      </c>
      <c r="H33" s="384">
        <f>SUM('01'!H31,'02'!H31,'03'!H31,'04'!H31,'05'!H31,'06'!H31,'07'!H31,'08'!H31,'09'!H31,'10'!H31,'11'!H31,'12'!H31,'14'!H31,'15'!H31,'63'!H31,'17'!H31,'18'!H31,'19'!H31,'20'!H31,'21'!H31,'62'!H31)</f>
        <v>15697</v>
      </c>
      <c r="I33" s="226"/>
    </row>
    <row r="34" spans="2:10" x14ac:dyDescent="0.25">
      <c r="E34" s="245"/>
      <c r="I34" s="226"/>
    </row>
    <row r="35" spans="2:10" x14ac:dyDescent="0.25">
      <c r="B35" s="387" t="s">
        <v>307</v>
      </c>
      <c r="C35" s="379"/>
      <c r="D35" s="380"/>
      <c r="E35" s="381">
        <f>SUM(E5:E8,E17,E22,E24)</f>
        <v>223535.81075999999</v>
      </c>
      <c r="F35" s="382">
        <f>SUM(F5:F8,F17,F22,F24)</f>
        <v>22945</v>
      </c>
      <c r="G35" s="382">
        <f>SUM(G5:G8,G17,G22,G24)</f>
        <v>16308</v>
      </c>
      <c r="H35" s="382">
        <f>SUM(H5:H8,H17,H22,H24)</f>
        <v>14591</v>
      </c>
      <c r="I35" s="226">
        <f>SUM(H35/G35)*100</f>
        <v>89.471425067451563</v>
      </c>
      <c r="J35" s="226">
        <f>SUM(E35)/H35*1000</f>
        <v>15320.115876910422</v>
      </c>
    </row>
    <row r="36" spans="2:10" x14ac:dyDescent="0.25">
      <c r="B36" s="387"/>
      <c r="C36" s="383"/>
      <c r="D36" s="384"/>
      <c r="E36" s="385">
        <f>SUM('01'!E34,'02'!E34,'03'!E34,'04'!E34,'05'!E34,'06'!E34,'07'!E34,'08'!E34,'09'!E34,'10'!E34,'11'!E34,'12'!E34,'14'!E34,'15'!E34,'63'!E34,'17'!E34,'18'!E34,'19'!E34,'20'!E34,'21'!E34,'62'!E34)/1000</f>
        <v>286580.28827999998</v>
      </c>
      <c r="F36" s="386">
        <f>SUM('01'!F34,'02'!F34,'03'!F34,'04'!F34,'05'!F34,'06'!F34,'07'!F34,'08'!F34,'09'!F34,'10'!F34,'11'!F34,'12'!F34,'14'!F34,'15'!F34,'63'!F34,'17'!F34,'18'!F34,'19'!F34,'20'!F34,'21'!F34,'62'!F34)</f>
        <v>25547</v>
      </c>
      <c r="G36" s="384">
        <f>SUM('01'!G34,'02'!G34,'03'!G34,'04'!G34,'05'!G34,'06'!G34,'07'!G34,'08'!G34,'09'!G34,'10'!G34,'11'!G34,'12'!G34,'14'!G34,'15'!G34,'63'!G34,'17'!G34,'18'!G34,'19'!G34,'20'!G34,'21'!G34,'62'!G34)</f>
        <v>19117</v>
      </c>
      <c r="H36" s="384">
        <f>SUM('01'!H34,'02'!H34,'03'!H34,'04'!H34,'05'!H34,'06'!H34,'07'!H34,'08'!H34,'09'!H34,'10'!H34,'11'!H34,'12'!H34,'14'!H34,'15'!H34,'63'!H34,'17'!H34,'18'!H34,'19'!H34,'20'!H34,'21'!H34,'62'!H34)</f>
        <v>16610</v>
      </c>
      <c r="I36" s="8"/>
      <c r="J36" s="226">
        <f>SUM(E5)/H5*1000</f>
        <v>12296.067845135</v>
      </c>
    </row>
  </sheetData>
  <mergeCells count="27">
    <mergeCell ref="B7:C7"/>
    <mergeCell ref="B2:D2"/>
    <mergeCell ref="B3:D3"/>
    <mergeCell ref="B4:C4"/>
    <mergeCell ref="B5:C5"/>
    <mergeCell ref="B6:C6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8:C28"/>
    <mergeCell ref="B29:C29"/>
    <mergeCell ref="B30:C30"/>
    <mergeCell ref="B20:C20"/>
    <mergeCell ref="B21:C21"/>
    <mergeCell ref="B22:C22"/>
    <mergeCell ref="B24:C24"/>
    <mergeCell ref="B26:C26"/>
    <mergeCell ref="B27:C27"/>
  </mergeCells>
  <pageMargins left="0" right="0" top="0" bottom="0.31496062992125984" header="0" footer="0"/>
  <pageSetup paperSize="9" scale="86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5" tint="0.79998168889431442"/>
    <pageSetUpPr fitToPage="1"/>
  </sheetPr>
  <dimension ref="B1:I36"/>
  <sheetViews>
    <sheetView zoomScale="90" zoomScaleNormal="90" workbookViewId="0">
      <selection activeCell="E35" sqref="E35"/>
    </sheetView>
  </sheetViews>
  <sheetFormatPr defaultRowHeight="15" x14ac:dyDescent="0.25"/>
  <cols>
    <col min="1" max="1" width="2" style="8" customWidth="1"/>
    <col min="2" max="2" width="9.140625" style="8"/>
    <col min="3" max="3" width="59.85546875" style="8" customWidth="1"/>
    <col min="4" max="4" width="4.28515625" style="8" customWidth="1"/>
    <col min="5" max="5" width="18" style="8" customWidth="1"/>
    <col min="6" max="6" width="23.28515625" style="8" customWidth="1"/>
    <col min="7" max="7" width="22.5703125" style="8" customWidth="1"/>
    <col min="8" max="8" width="19" style="8" customWidth="1"/>
    <col min="9" max="9" width="9.140625" style="13"/>
    <col min="10" max="16384" width="9.140625" style="8"/>
  </cols>
  <sheetData>
    <row r="1" spans="2:9" x14ac:dyDescent="0.25">
      <c r="B1" s="111" t="s">
        <v>328</v>
      </c>
      <c r="I1" s="8"/>
    </row>
    <row r="2" spans="2:9" ht="52.5" x14ac:dyDescent="0.25">
      <c r="B2" s="666" t="s">
        <v>21</v>
      </c>
      <c r="C2" s="666"/>
      <c r="D2" s="666"/>
      <c r="E2" s="374" t="s">
        <v>117</v>
      </c>
      <c r="F2" s="375" t="s">
        <v>118</v>
      </c>
      <c r="G2" s="375" t="s">
        <v>119</v>
      </c>
      <c r="H2" s="375" t="s">
        <v>120</v>
      </c>
      <c r="I2" s="8"/>
    </row>
    <row r="3" spans="2:9" x14ac:dyDescent="0.25">
      <c r="B3" s="666">
        <v>0</v>
      </c>
      <c r="C3" s="666"/>
      <c r="D3" s="666"/>
      <c r="E3" s="374">
        <v>1</v>
      </c>
      <c r="F3" s="375">
        <v>2</v>
      </c>
      <c r="G3" s="375">
        <v>3</v>
      </c>
      <c r="H3" s="375">
        <v>4</v>
      </c>
      <c r="I3" s="8"/>
    </row>
    <row r="4" spans="2:9" x14ac:dyDescent="0.25">
      <c r="B4" s="661" t="s">
        <v>229</v>
      </c>
      <c r="C4" s="662"/>
      <c r="D4" s="11" t="s">
        <v>27</v>
      </c>
      <c r="E4" s="244">
        <v>159828</v>
      </c>
      <c r="F4" s="46">
        <v>20862</v>
      </c>
      <c r="G4" s="46">
        <v>17283</v>
      </c>
      <c r="H4" s="46">
        <v>14914</v>
      </c>
      <c r="I4" s="8"/>
    </row>
    <row r="5" spans="2:9" x14ac:dyDescent="0.25">
      <c r="B5" s="656" t="s">
        <v>121</v>
      </c>
      <c r="C5" s="655"/>
      <c r="D5" s="376" t="s">
        <v>28</v>
      </c>
      <c r="E5" s="377">
        <v>48823.4</v>
      </c>
      <c r="F5" s="378">
        <v>8841</v>
      </c>
      <c r="G5" s="378">
        <v>5591</v>
      </c>
      <c r="H5" s="378">
        <v>4590</v>
      </c>
      <c r="I5" s="226">
        <f t="shared" ref="I5:I30" si="0">SUM(H5/G5)*100</f>
        <v>82.096226077624763</v>
      </c>
    </row>
    <row r="6" spans="2:9" x14ac:dyDescent="0.25">
      <c r="B6" s="667" t="s">
        <v>2</v>
      </c>
      <c r="C6" s="665"/>
      <c r="D6" s="376" t="s">
        <v>29</v>
      </c>
      <c r="E6" s="377">
        <v>2798.5</v>
      </c>
      <c r="F6" s="378">
        <v>790</v>
      </c>
      <c r="G6" s="378">
        <v>735</v>
      </c>
      <c r="H6" s="378">
        <v>482</v>
      </c>
      <c r="I6" s="226">
        <f t="shared" si="0"/>
        <v>65.578231292517003</v>
      </c>
    </row>
    <row r="7" spans="2:9" x14ac:dyDescent="0.25">
      <c r="B7" s="665" t="s">
        <v>3</v>
      </c>
      <c r="C7" s="665"/>
      <c r="D7" s="376" t="s">
        <v>30</v>
      </c>
      <c r="E7" s="377">
        <v>16205.1</v>
      </c>
      <c r="F7" s="378">
        <v>4396</v>
      </c>
      <c r="G7" s="378">
        <v>3330</v>
      </c>
      <c r="H7" s="378">
        <v>3134</v>
      </c>
      <c r="I7" s="226">
        <f t="shared" si="0"/>
        <v>94.114114114114116</v>
      </c>
    </row>
    <row r="8" spans="2:9" x14ac:dyDescent="0.25">
      <c r="B8" s="660" t="s">
        <v>4</v>
      </c>
      <c r="C8" s="660"/>
      <c r="D8" s="376" t="s">
        <v>31</v>
      </c>
      <c r="E8" s="377">
        <v>16296.5</v>
      </c>
      <c r="F8" s="378">
        <v>1649</v>
      </c>
      <c r="G8" s="378">
        <v>1465</v>
      </c>
      <c r="H8" s="378">
        <v>1348</v>
      </c>
      <c r="I8" s="226">
        <f t="shared" si="0"/>
        <v>92.0136518771331</v>
      </c>
    </row>
    <row r="9" spans="2:9" x14ac:dyDescent="0.25">
      <c r="B9" s="661" t="s">
        <v>5</v>
      </c>
      <c r="C9" s="662"/>
      <c r="D9" s="11" t="s">
        <v>32</v>
      </c>
      <c r="E9" s="244">
        <v>682.6</v>
      </c>
      <c r="F9" s="46">
        <v>579</v>
      </c>
      <c r="G9" s="46">
        <v>498</v>
      </c>
      <c r="H9" s="46">
        <v>53</v>
      </c>
      <c r="I9" s="226">
        <f t="shared" si="0"/>
        <v>10.642570281124499</v>
      </c>
    </row>
    <row r="10" spans="2:9" x14ac:dyDescent="0.25">
      <c r="B10" s="663" t="s">
        <v>122</v>
      </c>
      <c r="C10" s="663"/>
      <c r="D10" s="11" t="s">
        <v>33</v>
      </c>
      <c r="E10" s="244">
        <v>3.2</v>
      </c>
      <c r="F10" s="46">
        <v>7</v>
      </c>
      <c r="G10" s="46">
        <v>6</v>
      </c>
      <c r="H10" s="46">
        <v>0</v>
      </c>
      <c r="I10" s="226">
        <f t="shared" si="0"/>
        <v>0</v>
      </c>
    </row>
    <row r="11" spans="2:9" x14ac:dyDescent="0.25">
      <c r="B11" s="662" t="s">
        <v>6</v>
      </c>
      <c r="C11" s="662"/>
      <c r="D11" s="11" t="s">
        <v>34</v>
      </c>
      <c r="E11" s="244">
        <v>76.2</v>
      </c>
      <c r="F11" s="46">
        <v>19</v>
      </c>
      <c r="G11" s="46">
        <v>6</v>
      </c>
      <c r="H11" s="46">
        <v>4</v>
      </c>
      <c r="I11" s="226">
        <f t="shared" si="0"/>
        <v>66.666666666666657</v>
      </c>
    </row>
    <row r="12" spans="2:9" x14ac:dyDescent="0.25">
      <c r="B12" s="662" t="s">
        <v>7</v>
      </c>
      <c r="C12" s="662"/>
      <c r="D12" s="11" t="s">
        <v>35</v>
      </c>
      <c r="E12" s="244">
        <v>0</v>
      </c>
      <c r="F12" s="46">
        <v>0</v>
      </c>
      <c r="G12" s="46">
        <v>0</v>
      </c>
      <c r="H12" s="46">
        <v>0</v>
      </c>
      <c r="I12" s="226"/>
    </row>
    <row r="13" spans="2:9" x14ac:dyDescent="0.25">
      <c r="B13" s="654" t="s">
        <v>8</v>
      </c>
      <c r="C13" s="654"/>
      <c r="D13" s="11" t="s">
        <v>36</v>
      </c>
      <c r="E13" s="244">
        <v>0</v>
      </c>
      <c r="F13" s="46">
        <v>0</v>
      </c>
      <c r="G13" s="46">
        <v>0</v>
      </c>
      <c r="H13" s="46">
        <v>0</v>
      </c>
      <c r="I13" s="226"/>
    </row>
    <row r="14" spans="2:9" x14ac:dyDescent="0.25">
      <c r="B14" s="664" t="s">
        <v>123</v>
      </c>
      <c r="C14" s="664"/>
      <c r="D14" s="11" t="s">
        <v>37</v>
      </c>
      <c r="E14" s="244">
        <v>15.9</v>
      </c>
      <c r="F14" s="46">
        <v>5</v>
      </c>
      <c r="G14" s="46">
        <v>0</v>
      </c>
      <c r="H14" s="46">
        <v>0</v>
      </c>
      <c r="I14" s="226"/>
    </row>
    <row r="15" spans="2:9" x14ac:dyDescent="0.25">
      <c r="B15" s="661" t="s">
        <v>9</v>
      </c>
      <c r="C15" s="662"/>
      <c r="D15" s="11" t="s">
        <v>26</v>
      </c>
      <c r="E15" s="244">
        <v>599</v>
      </c>
      <c r="F15" s="46">
        <v>171</v>
      </c>
      <c r="G15" s="46">
        <v>51</v>
      </c>
      <c r="H15" s="46">
        <v>25</v>
      </c>
      <c r="I15" s="226">
        <f t="shared" si="0"/>
        <v>49.019607843137251</v>
      </c>
    </row>
    <row r="16" spans="2:9" x14ac:dyDescent="0.25">
      <c r="B16" s="654" t="s">
        <v>10</v>
      </c>
      <c r="C16" s="654"/>
      <c r="D16" s="11" t="s">
        <v>38</v>
      </c>
      <c r="E16" s="244">
        <v>541.79999999999995</v>
      </c>
      <c r="F16" s="46">
        <v>116</v>
      </c>
      <c r="G16" s="46">
        <v>43</v>
      </c>
      <c r="H16" s="46">
        <v>40</v>
      </c>
      <c r="I16" s="226">
        <f t="shared" si="0"/>
        <v>93.023255813953483</v>
      </c>
    </row>
    <row r="17" spans="2:9" x14ac:dyDescent="0.25">
      <c r="B17" s="665" t="s">
        <v>11</v>
      </c>
      <c r="C17" s="665"/>
      <c r="D17" s="376" t="s">
        <v>39</v>
      </c>
      <c r="E17" s="377">
        <v>6944.5</v>
      </c>
      <c r="F17" s="378">
        <v>915</v>
      </c>
      <c r="G17" s="378">
        <v>1192</v>
      </c>
      <c r="H17" s="378">
        <v>1100</v>
      </c>
      <c r="I17" s="226">
        <f t="shared" si="0"/>
        <v>92.281879194630861</v>
      </c>
    </row>
    <row r="18" spans="2:9" x14ac:dyDescent="0.25">
      <c r="B18" s="653" t="s">
        <v>12</v>
      </c>
      <c r="C18" s="653"/>
      <c r="D18" s="11" t="s">
        <v>40</v>
      </c>
      <c r="E18" s="244">
        <v>1148.5999999999999</v>
      </c>
      <c r="F18" s="46">
        <v>192</v>
      </c>
      <c r="G18" s="46">
        <v>111</v>
      </c>
      <c r="H18" s="46">
        <v>100</v>
      </c>
      <c r="I18" s="226">
        <f t="shared" si="0"/>
        <v>90.090090090090087</v>
      </c>
    </row>
    <row r="19" spans="2:9" x14ac:dyDescent="0.25">
      <c r="B19" s="654" t="s">
        <v>13</v>
      </c>
      <c r="C19" s="654"/>
      <c r="D19" s="11" t="s">
        <v>41</v>
      </c>
      <c r="E19" s="244">
        <v>2.6</v>
      </c>
      <c r="F19" s="46">
        <v>1</v>
      </c>
      <c r="G19" s="46">
        <v>0</v>
      </c>
      <c r="H19" s="46">
        <v>0</v>
      </c>
      <c r="I19" s="226"/>
    </row>
    <row r="20" spans="2:9" x14ac:dyDescent="0.25">
      <c r="B20" s="653" t="s">
        <v>14</v>
      </c>
      <c r="C20" s="653"/>
      <c r="D20" s="11" t="s">
        <v>42</v>
      </c>
      <c r="E20" s="244">
        <v>12.3</v>
      </c>
      <c r="F20" s="46">
        <v>7</v>
      </c>
      <c r="G20" s="46">
        <v>4</v>
      </c>
      <c r="H20" s="46">
        <v>4</v>
      </c>
      <c r="I20" s="226">
        <f t="shared" si="0"/>
        <v>100</v>
      </c>
    </row>
    <row r="21" spans="2:9" x14ac:dyDescent="0.25">
      <c r="B21" s="654" t="s">
        <v>15</v>
      </c>
      <c r="C21" s="654"/>
      <c r="D21" s="11" t="s">
        <v>43</v>
      </c>
      <c r="E21" s="244">
        <v>0</v>
      </c>
      <c r="F21" s="46">
        <v>0</v>
      </c>
      <c r="G21" s="46">
        <v>0</v>
      </c>
      <c r="H21" s="46">
        <v>0</v>
      </c>
      <c r="I21" s="226"/>
    </row>
    <row r="22" spans="2:9" x14ac:dyDescent="0.25">
      <c r="B22" s="655" t="s">
        <v>16</v>
      </c>
      <c r="C22" s="655"/>
      <c r="D22" s="376" t="s">
        <v>44</v>
      </c>
      <c r="E22" s="377">
        <v>36183.5</v>
      </c>
      <c r="F22" s="378">
        <v>1764</v>
      </c>
      <c r="G22" s="378">
        <v>2286</v>
      </c>
      <c r="H22" s="378">
        <v>2256</v>
      </c>
      <c r="I22" s="226">
        <f t="shared" si="0"/>
        <v>98.687664041994751</v>
      </c>
    </row>
    <row r="23" spans="2:9" ht="15.75" customHeight="1" x14ac:dyDescent="0.25">
      <c r="B23" s="12" t="s">
        <v>124</v>
      </c>
      <c r="C23" s="150" t="s">
        <v>125</v>
      </c>
      <c r="D23" s="11" t="s">
        <v>45</v>
      </c>
      <c r="E23" s="244">
        <v>42</v>
      </c>
      <c r="F23" s="46">
        <v>2</v>
      </c>
      <c r="G23" s="46">
        <v>0</v>
      </c>
      <c r="H23" s="46">
        <v>0</v>
      </c>
      <c r="I23" s="226"/>
    </row>
    <row r="24" spans="2:9" x14ac:dyDescent="0.25">
      <c r="B24" s="656" t="s">
        <v>17</v>
      </c>
      <c r="C24" s="655"/>
      <c r="D24" s="376" t="s">
        <v>46</v>
      </c>
      <c r="E24" s="377">
        <v>29490.400000000001</v>
      </c>
      <c r="F24" s="378">
        <v>1409</v>
      </c>
      <c r="G24" s="378">
        <v>1847</v>
      </c>
      <c r="H24" s="378">
        <v>1689</v>
      </c>
      <c r="I24" s="226">
        <f t="shared" si="0"/>
        <v>91.445587439090417</v>
      </c>
    </row>
    <row r="25" spans="2:9" x14ac:dyDescent="0.25">
      <c r="B25" s="12" t="s">
        <v>124</v>
      </c>
      <c r="C25" s="150" t="s">
        <v>125</v>
      </c>
      <c r="D25" s="11" t="s">
        <v>47</v>
      </c>
      <c r="E25" s="244">
        <v>0</v>
      </c>
      <c r="F25" s="46">
        <v>0</v>
      </c>
      <c r="G25" s="46">
        <v>0</v>
      </c>
      <c r="H25" s="46">
        <v>0</v>
      </c>
      <c r="I25" s="226"/>
    </row>
    <row r="26" spans="2:9" x14ac:dyDescent="0.25">
      <c r="B26" s="657" t="s">
        <v>18</v>
      </c>
      <c r="C26" s="658"/>
      <c r="D26" s="11" t="s">
        <v>48</v>
      </c>
      <c r="E26" s="244">
        <v>0</v>
      </c>
      <c r="F26" s="46">
        <v>0</v>
      </c>
      <c r="G26" s="46">
        <v>0</v>
      </c>
      <c r="H26" s="46">
        <v>0</v>
      </c>
      <c r="I26" s="226"/>
    </row>
    <row r="27" spans="2:9" x14ac:dyDescent="0.25">
      <c r="B27" s="659" t="s">
        <v>230</v>
      </c>
      <c r="C27" s="654"/>
      <c r="D27" s="11">
        <v>24</v>
      </c>
      <c r="E27" s="244">
        <v>1.3</v>
      </c>
      <c r="F27" s="46">
        <v>0</v>
      </c>
      <c r="G27" s="46">
        <v>116</v>
      </c>
      <c r="H27" s="46">
        <v>88</v>
      </c>
      <c r="I27" s="226">
        <f t="shared" si="0"/>
        <v>75.862068965517238</v>
      </c>
    </row>
    <row r="28" spans="2:9" x14ac:dyDescent="0.25">
      <c r="B28" s="651" t="s">
        <v>224</v>
      </c>
      <c r="C28" s="652"/>
      <c r="D28" s="11">
        <v>25</v>
      </c>
      <c r="E28" s="244">
        <v>2.6</v>
      </c>
      <c r="F28" s="46">
        <v>1</v>
      </c>
      <c r="G28" s="46">
        <v>2</v>
      </c>
      <c r="H28" s="46">
        <v>1</v>
      </c>
      <c r="I28" s="226">
        <f t="shared" si="0"/>
        <v>50</v>
      </c>
    </row>
    <row r="29" spans="2:9" x14ac:dyDescent="0.25">
      <c r="B29" s="651" t="s">
        <v>231</v>
      </c>
      <c r="C29" s="652"/>
      <c r="D29" s="11">
        <v>26</v>
      </c>
      <c r="E29" s="244">
        <v>0</v>
      </c>
      <c r="F29" s="46">
        <v>0</v>
      </c>
      <c r="G29" s="46">
        <v>0</v>
      </c>
      <c r="H29" s="46">
        <v>0</v>
      </c>
      <c r="I29" s="226"/>
    </row>
    <row r="30" spans="2:9" x14ac:dyDescent="0.25">
      <c r="B30" s="651" t="s">
        <v>225</v>
      </c>
      <c r="C30" s="652"/>
      <c r="D30" s="11">
        <v>27</v>
      </c>
      <c r="E30" s="244">
        <v>319698</v>
      </c>
      <c r="F30" s="46">
        <v>41726</v>
      </c>
      <c r="G30" s="46">
        <v>34566</v>
      </c>
      <c r="H30" s="46">
        <v>29828</v>
      </c>
      <c r="I30" s="226">
        <f t="shared" si="0"/>
        <v>86.292888966035989</v>
      </c>
    </row>
    <row r="31" spans="2:9" x14ac:dyDescent="0.25">
      <c r="E31" s="245"/>
      <c r="F31" s="47"/>
      <c r="G31" s="47"/>
      <c r="H31" s="47"/>
    </row>
    <row r="32" spans="2:9" x14ac:dyDescent="0.25">
      <c r="B32" s="387" t="s">
        <v>304</v>
      </c>
      <c r="C32" s="379"/>
      <c r="D32" s="380"/>
      <c r="E32" s="381">
        <f>SUM(E5:E8,E22,E24)</f>
        <v>149797.4</v>
      </c>
      <c r="F32" s="382">
        <f>SUM(F5:F8,F22,F24)</f>
        <v>18849</v>
      </c>
      <c r="G32" s="382">
        <f>SUM(G5:G8,G22,G24)</f>
        <v>15254</v>
      </c>
      <c r="H32" s="382">
        <f>SUM(H5:H8,H22,H24)</f>
        <v>13499</v>
      </c>
      <c r="I32" s="226">
        <f>SUM(H32/G32)*100</f>
        <v>88.49482103054936</v>
      </c>
    </row>
    <row r="33" spans="2:9" x14ac:dyDescent="0.25">
      <c r="B33" s="387" t="s">
        <v>304</v>
      </c>
      <c r="C33" s="383"/>
      <c r="D33" s="384"/>
      <c r="E33" s="385">
        <v>149797.4</v>
      </c>
      <c r="F33" s="386">
        <v>18849</v>
      </c>
      <c r="G33" s="384">
        <v>15254</v>
      </c>
      <c r="H33" s="384">
        <v>13499</v>
      </c>
      <c r="I33" s="226"/>
    </row>
    <row r="34" spans="2:9" x14ac:dyDescent="0.25">
      <c r="E34" s="245"/>
      <c r="I34" s="226"/>
    </row>
    <row r="35" spans="2:9" x14ac:dyDescent="0.25">
      <c r="B35" s="387" t="s">
        <v>308</v>
      </c>
      <c r="C35" s="379"/>
      <c r="D35" s="380"/>
      <c r="E35" s="381">
        <f>SUM(E5:E8,E17,E22,E24)</f>
        <v>156741.9</v>
      </c>
      <c r="F35" s="382">
        <f>SUM(F5:F8,F17,F22,F24)</f>
        <v>19764</v>
      </c>
      <c r="G35" s="382">
        <f>SUM(G5:G8,G17,G22,G24)</f>
        <v>16446</v>
      </c>
      <c r="H35" s="382">
        <f>SUM(H5:H8,H22,H24)</f>
        <v>13499</v>
      </c>
      <c r="I35" s="226">
        <f>SUM(H35/G35)*100</f>
        <v>82.080749118326651</v>
      </c>
    </row>
    <row r="36" spans="2:9" x14ac:dyDescent="0.25">
      <c r="B36" s="387"/>
      <c r="C36" s="383"/>
      <c r="D36" s="384"/>
      <c r="E36" s="385"/>
      <c r="F36" s="386"/>
      <c r="G36" s="384"/>
      <c r="H36" s="384"/>
      <c r="I36" s="8"/>
    </row>
  </sheetData>
  <mergeCells count="27">
    <mergeCell ref="B7:C7"/>
    <mergeCell ref="B2:D2"/>
    <mergeCell ref="B3:D3"/>
    <mergeCell ref="B4:C4"/>
    <mergeCell ref="B5:C5"/>
    <mergeCell ref="B6:C6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8:C28"/>
    <mergeCell ref="B29:C29"/>
    <mergeCell ref="B30:C30"/>
    <mergeCell ref="B20:C20"/>
    <mergeCell ref="B21:C21"/>
    <mergeCell ref="B22:C22"/>
    <mergeCell ref="B24:C24"/>
    <mergeCell ref="B26:C26"/>
    <mergeCell ref="B27:C27"/>
  </mergeCells>
  <pageMargins left="0" right="0" top="0" bottom="0.31496062992125984" header="0" footer="0"/>
  <pageSetup paperSize="9" scale="86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5" tint="0.79998168889431442"/>
    <pageSetUpPr fitToPage="1"/>
  </sheetPr>
  <dimension ref="B1:I36"/>
  <sheetViews>
    <sheetView zoomScale="90" zoomScaleNormal="90" workbookViewId="0">
      <selection activeCell="B1" sqref="B1"/>
    </sheetView>
  </sheetViews>
  <sheetFormatPr defaultRowHeight="15" x14ac:dyDescent="0.25"/>
  <cols>
    <col min="1" max="1" width="2" style="8" customWidth="1"/>
    <col min="2" max="2" width="9.140625" style="8"/>
    <col min="3" max="3" width="59.85546875" style="8" customWidth="1"/>
    <col min="4" max="4" width="5.140625" style="8" customWidth="1"/>
    <col min="5" max="5" width="18" style="8" customWidth="1"/>
    <col min="6" max="6" width="21.85546875" style="8" customWidth="1"/>
    <col min="7" max="7" width="23.28515625" style="8" customWidth="1"/>
    <col min="8" max="8" width="19.5703125" style="8" customWidth="1"/>
    <col min="9" max="9" width="8.85546875" style="13" customWidth="1"/>
    <col min="10" max="16384" width="9.140625" style="8"/>
  </cols>
  <sheetData>
    <row r="1" spans="2:9" x14ac:dyDescent="0.25">
      <c r="B1" s="111" t="s">
        <v>329</v>
      </c>
      <c r="I1" s="8"/>
    </row>
    <row r="2" spans="2:9" ht="52.5" x14ac:dyDescent="0.25">
      <c r="B2" s="666" t="s">
        <v>21</v>
      </c>
      <c r="C2" s="666"/>
      <c r="D2" s="666"/>
      <c r="E2" s="374" t="s">
        <v>117</v>
      </c>
      <c r="F2" s="375" t="s">
        <v>118</v>
      </c>
      <c r="G2" s="375" t="s">
        <v>119</v>
      </c>
      <c r="H2" s="375" t="s">
        <v>120</v>
      </c>
      <c r="I2" s="8"/>
    </row>
    <row r="3" spans="2:9" x14ac:dyDescent="0.25">
      <c r="B3" s="666">
        <v>0</v>
      </c>
      <c r="C3" s="666"/>
      <c r="D3" s="666"/>
      <c r="E3" s="374">
        <v>1</v>
      </c>
      <c r="F3" s="375">
        <v>2</v>
      </c>
      <c r="G3" s="375">
        <v>3</v>
      </c>
      <c r="H3" s="375">
        <v>4</v>
      </c>
      <c r="I3" s="8"/>
    </row>
    <row r="4" spans="2:9" x14ac:dyDescent="0.25">
      <c r="B4" s="661" t="s">
        <v>229</v>
      </c>
      <c r="C4" s="662"/>
      <c r="D4" s="11" t="s">
        <v>27</v>
      </c>
      <c r="E4" s="244">
        <v>181472.5</v>
      </c>
      <c r="F4" s="46">
        <v>25099</v>
      </c>
      <c r="G4" s="46">
        <v>23059</v>
      </c>
      <c r="H4" s="46">
        <v>19999</v>
      </c>
      <c r="I4" s="8"/>
    </row>
    <row r="5" spans="2:9" x14ac:dyDescent="0.25">
      <c r="B5" s="656" t="s">
        <v>121</v>
      </c>
      <c r="C5" s="655"/>
      <c r="D5" s="376" t="s">
        <v>28</v>
      </c>
      <c r="E5" s="377">
        <v>52593.3</v>
      </c>
      <c r="F5" s="378">
        <v>10471</v>
      </c>
      <c r="G5" s="378">
        <v>7126</v>
      </c>
      <c r="H5" s="378">
        <v>6071</v>
      </c>
      <c r="I5" s="226">
        <f t="shared" ref="I5:I30" si="0">SUM(H5/G5)*100</f>
        <v>85.195060342408084</v>
      </c>
    </row>
    <row r="6" spans="2:9" x14ac:dyDescent="0.25">
      <c r="B6" s="667" t="s">
        <v>2</v>
      </c>
      <c r="C6" s="665"/>
      <c r="D6" s="376" t="s">
        <v>29</v>
      </c>
      <c r="E6" s="377">
        <v>4186.7</v>
      </c>
      <c r="F6" s="378">
        <v>1467</v>
      </c>
      <c r="G6" s="378">
        <v>1392</v>
      </c>
      <c r="H6" s="378">
        <v>1046</v>
      </c>
      <c r="I6" s="226">
        <f t="shared" si="0"/>
        <v>75.143678160919535</v>
      </c>
    </row>
    <row r="7" spans="2:9" x14ac:dyDescent="0.25">
      <c r="B7" s="665" t="s">
        <v>3</v>
      </c>
      <c r="C7" s="665"/>
      <c r="D7" s="376" t="s">
        <v>30</v>
      </c>
      <c r="E7" s="377">
        <v>18777</v>
      </c>
      <c r="F7" s="378">
        <v>5002</v>
      </c>
      <c r="G7" s="378">
        <v>3365</v>
      </c>
      <c r="H7" s="378">
        <v>3148</v>
      </c>
      <c r="I7" s="226">
        <f t="shared" si="0"/>
        <v>93.551263001485879</v>
      </c>
    </row>
    <row r="8" spans="2:9" x14ac:dyDescent="0.25">
      <c r="B8" s="660" t="s">
        <v>4</v>
      </c>
      <c r="C8" s="660"/>
      <c r="D8" s="376" t="s">
        <v>31</v>
      </c>
      <c r="E8" s="377">
        <v>15014.9</v>
      </c>
      <c r="F8" s="378">
        <v>1649</v>
      </c>
      <c r="G8" s="378">
        <v>1412</v>
      </c>
      <c r="H8" s="378">
        <v>1334</v>
      </c>
      <c r="I8" s="226">
        <f t="shared" si="0"/>
        <v>94.475920679886684</v>
      </c>
    </row>
    <row r="9" spans="2:9" x14ac:dyDescent="0.25">
      <c r="B9" s="661" t="s">
        <v>5</v>
      </c>
      <c r="C9" s="662"/>
      <c r="D9" s="11" t="s">
        <v>32</v>
      </c>
      <c r="E9" s="244">
        <v>861.7</v>
      </c>
      <c r="F9" s="46">
        <v>773</v>
      </c>
      <c r="G9" s="46">
        <v>614</v>
      </c>
      <c r="H9" s="46">
        <v>79</v>
      </c>
      <c r="I9" s="226">
        <f t="shared" si="0"/>
        <v>12.866449511400651</v>
      </c>
    </row>
    <row r="10" spans="2:9" x14ac:dyDescent="0.25">
      <c r="B10" s="663" t="s">
        <v>122</v>
      </c>
      <c r="C10" s="663"/>
      <c r="D10" s="11" t="s">
        <v>33</v>
      </c>
      <c r="E10" s="244">
        <v>7.5</v>
      </c>
      <c r="F10" s="46">
        <v>18</v>
      </c>
      <c r="G10" s="46">
        <v>15</v>
      </c>
      <c r="H10" s="46">
        <v>1</v>
      </c>
      <c r="I10" s="226">
        <f t="shared" si="0"/>
        <v>6.666666666666667</v>
      </c>
    </row>
    <row r="11" spans="2:9" x14ac:dyDescent="0.25">
      <c r="B11" s="662" t="s">
        <v>6</v>
      </c>
      <c r="C11" s="662"/>
      <c r="D11" s="11" t="s">
        <v>34</v>
      </c>
      <c r="E11" s="244">
        <v>51.899999999999991</v>
      </c>
      <c r="F11" s="46">
        <v>13</v>
      </c>
      <c r="G11" s="46">
        <v>8</v>
      </c>
      <c r="H11" s="46">
        <v>8</v>
      </c>
      <c r="I11" s="226">
        <f t="shared" si="0"/>
        <v>100</v>
      </c>
    </row>
    <row r="12" spans="2:9" x14ac:dyDescent="0.25">
      <c r="B12" s="662" t="s">
        <v>7</v>
      </c>
      <c r="C12" s="662"/>
      <c r="D12" s="11" t="s">
        <v>35</v>
      </c>
      <c r="E12" s="244">
        <v>9.8000000000000007</v>
      </c>
      <c r="F12" s="46">
        <v>1</v>
      </c>
      <c r="G12" s="46">
        <v>1</v>
      </c>
      <c r="H12" s="46">
        <v>1</v>
      </c>
      <c r="I12" s="226">
        <f t="shared" si="0"/>
        <v>100</v>
      </c>
    </row>
    <row r="13" spans="2:9" x14ac:dyDescent="0.25">
      <c r="B13" s="654" t="s">
        <v>8</v>
      </c>
      <c r="C13" s="654"/>
      <c r="D13" s="11" t="s">
        <v>36</v>
      </c>
      <c r="E13" s="244">
        <v>0</v>
      </c>
      <c r="F13" s="46">
        <v>0</v>
      </c>
      <c r="G13" s="46">
        <v>0</v>
      </c>
      <c r="H13" s="46">
        <v>0</v>
      </c>
      <c r="I13" s="226"/>
    </row>
    <row r="14" spans="2:9" x14ac:dyDescent="0.25">
      <c r="B14" s="664" t="s">
        <v>123</v>
      </c>
      <c r="C14" s="664"/>
      <c r="D14" s="11" t="s">
        <v>37</v>
      </c>
      <c r="E14" s="244">
        <v>26.799999999999997</v>
      </c>
      <c r="F14" s="46">
        <v>6</v>
      </c>
      <c r="G14" s="46">
        <v>0</v>
      </c>
      <c r="H14" s="46">
        <v>0</v>
      </c>
      <c r="I14" s="226"/>
    </row>
    <row r="15" spans="2:9" x14ac:dyDescent="0.25">
      <c r="B15" s="661" t="s">
        <v>9</v>
      </c>
      <c r="C15" s="662"/>
      <c r="D15" s="11" t="s">
        <v>26</v>
      </c>
      <c r="E15" s="244">
        <v>277.49999999999994</v>
      </c>
      <c r="F15" s="46">
        <v>120</v>
      </c>
      <c r="G15" s="46">
        <v>160</v>
      </c>
      <c r="H15" s="46">
        <v>33</v>
      </c>
      <c r="I15" s="226">
        <f t="shared" si="0"/>
        <v>20.625</v>
      </c>
    </row>
    <row r="16" spans="2:9" x14ac:dyDescent="0.25">
      <c r="B16" s="654" t="s">
        <v>10</v>
      </c>
      <c r="C16" s="654"/>
      <c r="D16" s="11" t="s">
        <v>38</v>
      </c>
      <c r="E16" s="244">
        <v>529.29999999999995</v>
      </c>
      <c r="F16" s="46">
        <v>133</v>
      </c>
      <c r="G16" s="46">
        <v>92</v>
      </c>
      <c r="H16" s="46">
        <v>70</v>
      </c>
      <c r="I16" s="226">
        <f t="shared" si="0"/>
        <v>76.08695652173914</v>
      </c>
    </row>
    <row r="17" spans="2:9" x14ac:dyDescent="0.25">
      <c r="B17" s="665" t="s">
        <v>11</v>
      </c>
      <c r="C17" s="665"/>
      <c r="D17" s="376" t="s">
        <v>39</v>
      </c>
      <c r="E17" s="377">
        <v>10960.300000000001</v>
      </c>
      <c r="F17" s="378">
        <v>1464</v>
      </c>
      <c r="G17" s="378">
        <v>1298</v>
      </c>
      <c r="H17" s="378">
        <v>1197</v>
      </c>
      <c r="I17" s="226">
        <f t="shared" si="0"/>
        <v>92.218798151001536</v>
      </c>
    </row>
    <row r="18" spans="2:9" x14ac:dyDescent="0.25">
      <c r="B18" s="653" t="s">
        <v>12</v>
      </c>
      <c r="C18" s="653"/>
      <c r="D18" s="11" t="s">
        <v>40</v>
      </c>
      <c r="E18" s="244">
        <v>1530.1</v>
      </c>
      <c r="F18" s="46">
        <v>250</v>
      </c>
      <c r="G18" s="46">
        <v>183</v>
      </c>
      <c r="H18" s="46">
        <v>157</v>
      </c>
      <c r="I18" s="226">
        <f t="shared" si="0"/>
        <v>85.792349726775953</v>
      </c>
    </row>
    <row r="19" spans="2:9" x14ac:dyDescent="0.25">
      <c r="B19" s="654" t="s">
        <v>13</v>
      </c>
      <c r="C19" s="654"/>
      <c r="D19" s="11" t="s">
        <v>41</v>
      </c>
      <c r="E19" s="244">
        <v>0</v>
      </c>
      <c r="F19" s="46">
        <v>0</v>
      </c>
      <c r="G19" s="46">
        <v>1</v>
      </c>
      <c r="H19" s="46">
        <v>1</v>
      </c>
      <c r="I19" s="226">
        <f t="shared" si="0"/>
        <v>100</v>
      </c>
    </row>
    <row r="20" spans="2:9" x14ac:dyDescent="0.25">
      <c r="B20" s="653" t="s">
        <v>14</v>
      </c>
      <c r="C20" s="653"/>
      <c r="D20" s="11" t="s">
        <v>42</v>
      </c>
      <c r="E20" s="244">
        <v>37.799999999999997</v>
      </c>
      <c r="F20" s="46">
        <v>10</v>
      </c>
      <c r="G20" s="46">
        <v>4</v>
      </c>
      <c r="H20" s="46">
        <v>4</v>
      </c>
      <c r="I20" s="226">
        <f t="shared" si="0"/>
        <v>100</v>
      </c>
    </row>
    <row r="21" spans="2:9" x14ac:dyDescent="0.25">
      <c r="B21" s="654" t="s">
        <v>15</v>
      </c>
      <c r="C21" s="654"/>
      <c r="D21" s="11" t="s">
        <v>43</v>
      </c>
      <c r="E21" s="244">
        <v>0</v>
      </c>
      <c r="F21" s="46">
        <v>0</v>
      </c>
      <c r="G21" s="46">
        <v>0</v>
      </c>
      <c r="H21" s="46">
        <v>0</v>
      </c>
      <c r="I21" s="226"/>
    </row>
    <row r="22" spans="2:9" x14ac:dyDescent="0.25">
      <c r="B22" s="655" t="s">
        <v>16</v>
      </c>
      <c r="C22" s="655"/>
      <c r="D22" s="376" t="s">
        <v>44</v>
      </c>
      <c r="E22" s="377">
        <v>43971.199999999997</v>
      </c>
      <c r="F22" s="378">
        <v>2155</v>
      </c>
      <c r="G22" s="378">
        <v>2471</v>
      </c>
      <c r="H22" s="378">
        <v>2404</v>
      </c>
      <c r="I22" s="226">
        <f t="shared" si="0"/>
        <v>97.288547146904094</v>
      </c>
    </row>
    <row r="23" spans="2:9" ht="15.75" customHeight="1" x14ac:dyDescent="0.25">
      <c r="B23" s="12" t="s">
        <v>124</v>
      </c>
      <c r="C23" s="64" t="s">
        <v>125</v>
      </c>
      <c r="D23" s="11" t="s">
        <v>45</v>
      </c>
      <c r="E23" s="244">
        <v>0</v>
      </c>
      <c r="F23" s="46">
        <v>0</v>
      </c>
      <c r="G23" s="46">
        <v>0</v>
      </c>
      <c r="H23" s="46">
        <v>0</v>
      </c>
      <c r="I23" s="226"/>
    </row>
    <row r="24" spans="2:9" x14ac:dyDescent="0.25">
      <c r="B24" s="656" t="s">
        <v>17</v>
      </c>
      <c r="C24" s="655"/>
      <c r="D24" s="376" t="s">
        <v>46</v>
      </c>
      <c r="E24" s="377">
        <v>32604.199999999997</v>
      </c>
      <c r="F24" s="378">
        <v>1565</v>
      </c>
      <c r="G24" s="378">
        <v>2198</v>
      </c>
      <c r="H24" s="378">
        <v>2012</v>
      </c>
      <c r="I24" s="226">
        <f t="shared" si="0"/>
        <v>91.53776160145587</v>
      </c>
    </row>
    <row r="25" spans="2:9" x14ac:dyDescent="0.25">
      <c r="B25" s="12" t="s">
        <v>124</v>
      </c>
      <c r="C25" s="65" t="s">
        <v>125</v>
      </c>
      <c r="D25" s="11" t="s">
        <v>47</v>
      </c>
      <c r="E25" s="244">
        <v>0</v>
      </c>
      <c r="F25" s="46">
        <v>0</v>
      </c>
      <c r="G25" s="46">
        <v>0</v>
      </c>
      <c r="H25" s="46">
        <v>0</v>
      </c>
      <c r="I25" s="226"/>
    </row>
    <row r="26" spans="2:9" x14ac:dyDescent="0.25">
      <c r="B26" s="657" t="s">
        <v>18</v>
      </c>
      <c r="C26" s="658"/>
      <c r="D26" s="11" t="s">
        <v>48</v>
      </c>
      <c r="E26" s="244">
        <v>0</v>
      </c>
      <c r="F26" s="46">
        <v>0</v>
      </c>
      <c r="G26" s="46">
        <v>0</v>
      </c>
      <c r="H26" s="46">
        <v>0</v>
      </c>
      <c r="I26" s="226"/>
    </row>
    <row r="27" spans="2:9" x14ac:dyDescent="0.25">
      <c r="B27" s="659" t="s">
        <v>230</v>
      </c>
      <c r="C27" s="654"/>
      <c r="D27" s="11">
        <v>24</v>
      </c>
      <c r="E27" s="244">
        <v>6.6</v>
      </c>
      <c r="F27" s="46">
        <v>0</v>
      </c>
      <c r="G27" s="46">
        <v>2719</v>
      </c>
      <c r="H27" s="46">
        <v>2433</v>
      </c>
      <c r="I27" s="226">
        <f t="shared" si="0"/>
        <v>89.481426995218825</v>
      </c>
    </row>
    <row r="28" spans="2:9" x14ac:dyDescent="0.25">
      <c r="B28" s="651" t="s">
        <v>224</v>
      </c>
      <c r="C28" s="652"/>
      <c r="D28" s="11">
        <v>25</v>
      </c>
      <c r="E28" s="244">
        <v>25.9</v>
      </c>
      <c r="F28" s="46">
        <v>2</v>
      </c>
      <c r="G28" s="46">
        <v>0</v>
      </c>
      <c r="H28" s="46">
        <v>0</v>
      </c>
      <c r="I28" s="226"/>
    </row>
    <row r="29" spans="2:9" x14ac:dyDescent="0.25">
      <c r="B29" s="651" t="s">
        <v>231</v>
      </c>
      <c r="C29" s="652"/>
      <c r="D29" s="11">
        <v>26</v>
      </c>
      <c r="E29" s="244">
        <v>0</v>
      </c>
      <c r="F29" s="46">
        <v>0</v>
      </c>
      <c r="G29" s="46">
        <v>0</v>
      </c>
      <c r="H29" s="46">
        <v>0</v>
      </c>
      <c r="I29" s="226"/>
    </row>
    <row r="30" spans="2:9" x14ac:dyDescent="0.25">
      <c r="B30" s="651" t="s">
        <v>225</v>
      </c>
      <c r="C30" s="652"/>
      <c r="D30" s="11">
        <v>27</v>
      </c>
      <c r="E30" s="244">
        <v>362945</v>
      </c>
      <c r="F30" s="46">
        <v>50198</v>
      </c>
      <c r="G30" s="46">
        <v>46118</v>
      </c>
      <c r="H30" s="46">
        <v>39998</v>
      </c>
      <c r="I30" s="226">
        <f t="shared" si="0"/>
        <v>86.729693395203611</v>
      </c>
    </row>
    <row r="31" spans="2:9" x14ac:dyDescent="0.25">
      <c r="E31" s="245"/>
      <c r="F31" s="47"/>
      <c r="G31" s="47"/>
      <c r="H31" s="47"/>
    </row>
    <row r="32" spans="2:9" x14ac:dyDescent="0.25">
      <c r="B32" s="387" t="s">
        <v>304</v>
      </c>
      <c r="C32" s="379"/>
      <c r="D32" s="380"/>
      <c r="E32" s="381">
        <f>SUM(E5:E8,E22,E24)</f>
        <v>167147.29999999999</v>
      </c>
      <c r="F32" s="382">
        <f>SUM(F5:F8,F22,F24)</f>
        <v>22309</v>
      </c>
      <c r="G32" s="382">
        <f>SUM(G5:G8,G22,G24)</f>
        <v>17964</v>
      </c>
      <c r="H32" s="382">
        <f>SUM(H5:H8,H22,H24)</f>
        <v>16015</v>
      </c>
      <c r="I32" s="226">
        <f>SUM(H32/G32)*100</f>
        <v>89.150523268759741</v>
      </c>
    </row>
    <row r="33" spans="2:9" x14ac:dyDescent="0.25">
      <c r="B33" s="387" t="s">
        <v>304</v>
      </c>
      <c r="C33" s="383"/>
      <c r="D33" s="384"/>
      <c r="E33" s="385">
        <v>167147.29999999999</v>
      </c>
      <c r="F33" s="386">
        <v>22309</v>
      </c>
      <c r="G33" s="384">
        <v>17964</v>
      </c>
      <c r="H33" s="384">
        <v>16015</v>
      </c>
      <c r="I33" s="226"/>
    </row>
    <row r="34" spans="2:9" x14ac:dyDescent="0.25">
      <c r="E34" s="245"/>
      <c r="I34" s="226"/>
    </row>
    <row r="35" spans="2:9" x14ac:dyDescent="0.25">
      <c r="B35" s="387" t="s">
        <v>307</v>
      </c>
      <c r="C35" s="379"/>
      <c r="D35" s="380"/>
      <c r="E35" s="381">
        <f>SUM(E5:E8,E17,E22,E24)</f>
        <v>178107.59999999998</v>
      </c>
      <c r="F35" s="382">
        <f>SUM(F5:F8,F17,F22,F24)</f>
        <v>23773</v>
      </c>
      <c r="G35" s="382">
        <f>SUM(G5:G8,G17,G22,G24)</f>
        <v>19262</v>
      </c>
      <c r="H35" s="382">
        <f>SUM(H5:H8,H17,H22,H24)</f>
        <v>17212</v>
      </c>
      <c r="I35" s="226">
        <f>SUM(H35/G35)*100</f>
        <v>89.357283771155636</v>
      </c>
    </row>
    <row r="36" spans="2:9" x14ac:dyDescent="0.25">
      <c r="B36" s="387"/>
      <c r="C36" s="383"/>
      <c r="D36" s="384"/>
      <c r="E36" s="385"/>
      <c r="F36" s="386"/>
      <c r="G36" s="384"/>
      <c r="H36" s="384"/>
      <c r="I36" s="8"/>
    </row>
  </sheetData>
  <mergeCells count="27">
    <mergeCell ref="B27:C27"/>
    <mergeCell ref="B20:C20"/>
    <mergeCell ref="B21:C21"/>
    <mergeCell ref="B22:C22"/>
    <mergeCell ref="B24:C24"/>
    <mergeCell ref="B26:C26"/>
    <mergeCell ref="B14:C14"/>
    <mergeCell ref="B15:C15"/>
    <mergeCell ref="B16:C16"/>
    <mergeCell ref="B17:C17"/>
    <mergeCell ref="B18:C18"/>
    <mergeCell ref="B7:C7"/>
    <mergeCell ref="B28:C28"/>
    <mergeCell ref="B29:C29"/>
    <mergeCell ref="B30:C30"/>
    <mergeCell ref="B2:D2"/>
    <mergeCell ref="B3:D3"/>
    <mergeCell ref="B4:C4"/>
    <mergeCell ref="B5:C5"/>
    <mergeCell ref="B6:C6"/>
    <mergeCell ref="B19:C19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  <pageSetup paperSize="9" scale="7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Arkusz25">
    <tabColor theme="5" tint="0.79998168889431442"/>
    <pageSetUpPr fitToPage="1"/>
  </sheetPr>
  <dimension ref="B1:I33"/>
  <sheetViews>
    <sheetView zoomScale="90" zoomScaleNormal="90" workbookViewId="0">
      <selection activeCell="B1" sqref="B1"/>
    </sheetView>
  </sheetViews>
  <sheetFormatPr defaultRowHeight="15" x14ac:dyDescent="0.25"/>
  <cols>
    <col min="1" max="1" width="3.28515625" style="8" customWidth="1"/>
    <col min="2" max="2" width="9.140625" style="8"/>
    <col min="3" max="3" width="55.5703125" style="8" customWidth="1"/>
    <col min="4" max="4" width="5.140625" style="8" customWidth="1"/>
    <col min="5" max="5" width="18" style="8" customWidth="1"/>
    <col min="6" max="6" width="21.85546875" style="8" customWidth="1"/>
    <col min="7" max="7" width="22.7109375" style="8" customWidth="1"/>
    <col min="8" max="8" width="19.5703125" style="8" customWidth="1"/>
    <col min="9" max="9" width="10.42578125" style="13" bestFit="1" customWidth="1"/>
    <col min="10" max="16384" width="9.140625" style="8"/>
  </cols>
  <sheetData>
    <row r="1" spans="2:9" x14ac:dyDescent="0.25">
      <c r="B1" s="111" t="s">
        <v>330</v>
      </c>
      <c r="I1" s="8"/>
    </row>
    <row r="2" spans="2:9" ht="52.5" x14ac:dyDescent="0.25">
      <c r="B2" s="666" t="s">
        <v>21</v>
      </c>
      <c r="C2" s="666"/>
      <c r="D2" s="666"/>
      <c r="E2" s="374" t="s">
        <v>117</v>
      </c>
      <c r="F2" s="375" t="s">
        <v>118</v>
      </c>
      <c r="G2" s="375" t="s">
        <v>119</v>
      </c>
      <c r="H2" s="375" t="s">
        <v>120</v>
      </c>
      <c r="I2" s="8"/>
    </row>
    <row r="3" spans="2:9" x14ac:dyDescent="0.25">
      <c r="B3" s="666">
        <v>0</v>
      </c>
      <c r="C3" s="666"/>
      <c r="D3" s="666"/>
      <c r="E3" s="374">
        <v>1</v>
      </c>
      <c r="F3" s="375">
        <v>2</v>
      </c>
      <c r="G3" s="375">
        <v>3</v>
      </c>
      <c r="H3" s="375">
        <v>4</v>
      </c>
      <c r="I3" s="8"/>
    </row>
    <row r="4" spans="2:9" x14ac:dyDescent="0.25">
      <c r="B4" s="661" t="s">
        <v>0</v>
      </c>
      <c r="C4" s="662"/>
      <c r="D4" s="11" t="s">
        <v>27</v>
      </c>
      <c r="E4" s="244">
        <v>278191.19999999995</v>
      </c>
      <c r="F4" s="46">
        <v>33694</v>
      </c>
      <c r="G4" s="46">
        <v>28997</v>
      </c>
      <c r="H4" s="46">
        <v>25053</v>
      </c>
      <c r="I4" s="8"/>
    </row>
    <row r="5" spans="2:9" x14ac:dyDescent="0.25">
      <c r="B5" s="656" t="s">
        <v>121</v>
      </c>
      <c r="C5" s="655"/>
      <c r="D5" s="376" t="s">
        <v>28</v>
      </c>
      <c r="E5" s="377">
        <v>68193.399999999994</v>
      </c>
      <c r="F5" s="378">
        <v>12712</v>
      </c>
      <c r="G5" s="378">
        <v>9501</v>
      </c>
      <c r="H5" s="378">
        <v>8097</v>
      </c>
      <c r="I5" s="226">
        <f t="shared" ref="I5:I27" si="0">SUM(H5/G5)*100</f>
        <v>85.222608146510893</v>
      </c>
    </row>
    <row r="6" spans="2:9" x14ac:dyDescent="0.25">
      <c r="B6" s="667" t="s">
        <v>2</v>
      </c>
      <c r="C6" s="665"/>
      <c r="D6" s="376" t="s">
        <v>29</v>
      </c>
      <c r="E6" s="377">
        <v>4998.5999999999995</v>
      </c>
      <c r="F6" s="378">
        <v>1873</v>
      </c>
      <c r="G6" s="378">
        <v>1685</v>
      </c>
      <c r="H6" s="378">
        <v>1173</v>
      </c>
      <c r="I6" s="226">
        <f t="shared" si="0"/>
        <v>69.614243323442139</v>
      </c>
    </row>
    <row r="7" spans="2:9" x14ac:dyDescent="0.25">
      <c r="B7" s="665" t="s">
        <v>3</v>
      </c>
      <c r="C7" s="665"/>
      <c r="D7" s="376" t="s">
        <v>30</v>
      </c>
      <c r="E7" s="377">
        <v>23029.099999999995</v>
      </c>
      <c r="F7" s="378">
        <v>5531</v>
      </c>
      <c r="G7" s="378">
        <v>3836</v>
      </c>
      <c r="H7" s="378">
        <v>3574</v>
      </c>
      <c r="I7" s="226">
        <f t="shared" si="0"/>
        <v>93.16996871741398</v>
      </c>
    </row>
    <row r="8" spans="2:9" x14ac:dyDescent="0.25">
      <c r="B8" s="660" t="s">
        <v>4</v>
      </c>
      <c r="C8" s="660"/>
      <c r="D8" s="376" t="s">
        <v>31</v>
      </c>
      <c r="E8" s="377">
        <v>20102.900000000001</v>
      </c>
      <c r="F8" s="378">
        <v>2146</v>
      </c>
      <c r="G8" s="378">
        <v>2000</v>
      </c>
      <c r="H8" s="378">
        <v>1884</v>
      </c>
      <c r="I8" s="226">
        <f t="shared" si="0"/>
        <v>94.199999999999989</v>
      </c>
    </row>
    <row r="9" spans="2:9" x14ac:dyDescent="0.25">
      <c r="B9" s="661" t="s">
        <v>5</v>
      </c>
      <c r="C9" s="662"/>
      <c r="D9" s="11" t="s">
        <v>32</v>
      </c>
      <c r="E9" s="244">
        <v>854.5</v>
      </c>
      <c r="F9" s="46">
        <v>807</v>
      </c>
      <c r="G9" s="46">
        <v>636</v>
      </c>
      <c r="H9" s="46">
        <v>90</v>
      </c>
      <c r="I9" s="226">
        <f t="shared" si="0"/>
        <v>14.150943396226415</v>
      </c>
    </row>
    <row r="10" spans="2:9" x14ac:dyDescent="0.25">
      <c r="B10" s="663" t="s">
        <v>122</v>
      </c>
      <c r="C10" s="663"/>
      <c r="D10" s="11" t="s">
        <v>33</v>
      </c>
      <c r="E10" s="244">
        <v>34.1</v>
      </c>
      <c r="F10" s="46">
        <v>80</v>
      </c>
      <c r="G10" s="46">
        <v>77</v>
      </c>
      <c r="H10" s="46">
        <v>3</v>
      </c>
      <c r="I10" s="226">
        <f t="shared" si="0"/>
        <v>3.8961038961038961</v>
      </c>
    </row>
    <row r="11" spans="2:9" x14ac:dyDescent="0.25">
      <c r="B11" s="662" t="s">
        <v>6</v>
      </c>
      <c r="C11" s="662"/>
      <c r="D11" s="11" t="s">
        <v>34</v>
      </c>
      <c r="E11" s="244">
        <v>81.5</v>
      </c>
      <c r="F11" s="46">
        <v>19</v>
      </c>
      <c r="G11" s="46">
        <v>13</v>
      </c>
      <c r="H11" s="46">
        <v>11</v>
      </c>
      <c r="I11" s="226">
        <f t="shared" si="0"/>
        <v>84.615384615384613</v>
      </c>
    </row>
    <row r="12" spans="2:9" x14ac:dyDescent="0.25">
      <c r="B12" s="662" t="s">
        <v>7</v>
      </c>
      <c r="C12" s="662"/>
      <c r="D12" s="11" t="s">
        <v>35</v>
      </c>
      <c r="E12" s="244">
        <v>42</v>
      </c>
      <c r="F12" s="46">
        <v>3</v>
      </c>
      <c r="G12" s="46">
        <v>2</v>
      </c>
      <c r="H12" s="46">
        <v>1</v>
      </c>
      <c r="I12" s="226">
        <f t="shared" si="0"/>
        <v>50</v>
      </c>
    </row>
    <row r="13" spans="2:9" x14ac:dyDescent="0.25">
      <c r="B13" s="654" t="s">
        <v>8</v>
      </c>
      <c r="C13" s="654"/>
      <c r="D13" s="11" t="s">
        <v>36</v>
      </c>
      <c r="E13" s="244">
        <v>18.2</v>
      </c>
      <c r="F13" s="46">
        <v>2</v>
      </c>
      <c r="G13" s="46">
        <v>2</v>
      </c>
      <c r="H13" s="46">
        <v>0</v>
      </c>
      <c r="I13" s="226">
        <f t="shared" si="0"/>
        <v>0</v>
      </c>
    </row>
    <row r="14" spans="2:9" x14ac:dyDescent="0.25">
      <c r="B14" s="664" t="s">
        <v>123</v>
      </c>
      <c r="C14" s="664"/>
      <c r="D14" s="11" t="s">
        <v>37</v>
      </c>
      <c r="E14" s="244">
        <v>23</v>
      </c>
      <c r="F14" s="46">
        <v>6</v>
      </c>
      <c r="G14" s="46">
        <v>0</v>
      </c>
      <c r="H14" s="46">
        <v>0</v>
      </c>
      <c r="I14" s="226"/>
    </row>
    <row r="15" spans="2:9" x14ac:dyDescent="0.25">
      <c r="B15" s="661" t="s">
        <v>9</v>
      </c>
      <c r="C15" s="662"/>
      <c r="D15" s="11" t="s">
        <v>26</v>
      </c>
      <c r="E15" s="244">
        <v>653.30000000000007</v>
      </c>
      <c r="F15" s="46">
        <v>251</v>
      </c>
      <c r="G15" s="46">
        <v>171</v>
      </c>
      <c r="H15" s="46">
        <v>56</v>
      </c>
      <c r="I15" s="226">
        <f t="shared" si="0"/>
        <v>32.748538011695906</v>
      </c>
    </row>
    <row r="16" spans="2:9" x14ac:dyDescent="0.25">
      <c r="B16" s="654" t="s">
        <v>10</v>
      </c>
      <c r="C16" s="654"/>
      <c r="D16" s="11" t="s">
        <v>38</v>
      </c>
      <c r="E16" s="244">
        <v>1053.8</v>
      </c>
      <c r="F16" s="46">
        <v>220</v>
      </c>
      <c r="G16" s="46">
        <v>125</v>
      </c>
      <c r="H16" s="46">
        <v>111</v>
      </c>
      <c r="I16" s="226">
        <f t="shared" si="0"/>
        <v>88.8</v>
      </c>
    </row>
    <row r="17" spans="2:9" x14ac:dyDescent="0.25">
      <c r="B17" s="665" t="s">
        <v>11</v>
      </c>
      <c r="C17" s="665"/>
      <c r="D17" s="376" t="s">
        <v>39</v>
      </c>
      <c r="E17" s="377">
        <v>9338.9</v>
      </c>
      <c r="F17" s="378">
        <v>1263</v>
      </c>
      <c r="G17" s="378">
        <v>1287</v>
      </c>
      <c r="H17" s="378">
        <v>1196</v>
      </c>
      <c r="I17" s="226">
        <f t="shared" si="0"/>
        <v>92.929292929292927</v>
      </c>
    </row>
    <row r="18" spans="2:9" x14ac:dyDescent="0.25">
      <c r="B18" s="653" t="s">
        <v>12</v>
      </c>
      <c r="C18" s="653"/>
      <c r="D18" s="11" t="s">
        <v>40</v>
      </c>
      <c r="E18" s="244">
        <v>2268.8000000000006</v>
      </c>
      <c r="F18" s="46">
        <v>373</v>
      </c>
      <c r="G18" s="46">
        <v>212</v>
      </c>
      <c r="H18" s="46">
        <v>189</v>
      </c>
      <c r="I18" s="226">
        <f t="shared" si="0"/>
        <v>89.15094339622641</v>
      </c>
    </row>
    <row r="19" spans="2:9" x14ac:dyDescent="0.25">
      <c r="B19" s="654" t="s">
        <v>13</v>
      </c>
      <c r="C19" s="654"/>
      <c r="D19" s="11" t="s">
        <v>41</v>
      </c>
      <c r="E19" s="244">
        <v>8.5</v>
      </c>
      <c r="F19" s="46">
        <v>1</v>
      </c>
      <c r="G19" s="46">
        <v>0</v>
      </c>
      <c r="H19" s="46">
        <v>0</v>
      </c>
      <c r="I19" s="226"/>
    </row>
    <row r="20" spans="2:9" x14ac:dyDescent="0.25">
      <c r="B20" s="653" t="s">
        <v>14</v>
      </c>
      <c r="C20" s="653"/>
      <c r="D20" s="11" t="s">
        <v>42</v>
      </c>
      <c r="E20" s="244">
        <v>4.3</v>
      </c>
      <c r="F20" s="46">
        <v>6</v>
      </c>
      <c r="G20" s="46">
        <v>4</v>
      </c>
      <c r="H20" s="46">
        <v>4</v>
      </c>
      <c r="I20" s="226">
        <f t="shared" si="0"/>
        <v>100</v>
      </c>
    </row>
    <row r="21" spans="2:9" x14ac:dyDescent="0.25">
      <c r="B21" s="654" t="s">
        <v>15</v>
      </c>
      <c r="C21" s="654"/>
      <c r="D21" s="11" t="s">
        <v>43</v>
      </c>
      <c r="E21" s="244">
        <v>0</v>
      </c>
      <c r="F21" s="46">
        <v>0</v>
      </c>
      <c r="G21" s="46">
        <v>0</v>
      </c>
      <c r="H21" s="46">
        <v>0</v>
      </c>
      <c r="I21" s="226"/>
    </row>
    <row r="22" spans="2:9" x14ac:dyDescent="0.25">
      <c r="B22" s="655" t="s">
        <v>16</v>
      </c>
      <c r="C22" s="655"/>
      <c r="D22" s="376" t="s">
        <v>44</v>
      </c>
      <c r="E22" s="377">
        <v>50865.80000000001</v>
      </c>
      <c r="F22" s="378">
        <v>2474</v>
      </c>
      <c r="G22" s="378">
        <v>2600</v>
      </c>
      <c r="H22" s="378">
        <v>2521</v>
      </c>
      <c r="I22" s="226">
        <f t="shared" si="0"/>
        <v>96.961538461538467</v>
      </c>
    </row>
    <row r="23" spans="2:9" ht="15.75" customHeight="1" x14ac:dyDescent="0.25">
      <c r="B23" s="12" t="s">
        <v>124</v>
      </c>
      <c r="C23" s="39" t="s">
        <v>125</v>
      </c>
      <c r="D23" s="11" t="s">
        <v>45</v>
      </c>
      <c r="E23" s="244">
        <v>0</v>
      </c>
      <c r="F23" s="46">
        <v>0</v>
      </c>
      <c r="G23" s="46">
        <v>1</v>
      </c>
      <c r="H23" s="46">
        <v>1</v>
      </c>
      <c r="I23" s="226">
        <f t="shared" si="0"/>
        <v>100</v>
      </c>
    </row>
    <row r="24" spans="2:9" x14ac:dyDescent="0.25">
      <c r="B24" s="656" t="s">
        <v>17</v>
      </c>
      <c r="C24" s="655"/>
      <c r="D24" s="376" t="s">
        <v>46</v>
      </c>
      <c r="E24" s="377">
        <v>40188.399999999994</v>
      </c>
      <c r="F24" s="378">
        <v>1931</v>
      </c>
      <c r="G24" s="378">
        <v>2590</v>
      </c>
      <c r="H24" s="378">
        <v>2337</v>
      </c>
      <c r="I24" s="226">
        <f t="shared" si="0"/>
        <v>90.231660231660229</v>
      </c>
    </row>
    <row r="25" spans="2:9" x14ac:dyDescent="0.25">
      <c r="B25" s="661" t="s">
        <v>18</v>
      </c>
      <c r="C25" s="662"/>
      <c r="D25" s="11" t="s">
        <v>47</v>
      </c>
      <c r="E25" s="244">
        <v>189.7</v>
      </c>
      <c r="F25" s="46">
        <v>57</v>
      </c>
      <c r="G25" s="46">
        <v>32</v>
      </c>
      <c r="H25" s="46">
        <v>15</v>
      </c>
      <c r="I25" s="226">
        <f t="shared" si="0"/>
        <v>46.875</v>
      </c>
    </row>
    <row r="26" spans="2:9" x14ac:dyDescent="0.25">
      <c r="B26" s="657" t="s">
        <v>19</v>
      </c>
      <c r="C26" s="658"/>
      <c r="D26" s="11" t="s">
        <v>48</v>
      </c>
      <c r="E26" s="244">
        <v>56242.400000000001</v>
      </c>
      <c r="F26" s="46">
        <v>3939</v>
      </c>
      <c r="G26" s="46">
        <v>4224</v>
      </c>
      <c r="H26" s="46">
        <v>3791</v>
      </c>
      <c r="I26" s="226">
        <f t="shared" si="0"/>
        <v>89.749053030303031</v>
      </c>
    </row>
    <row r="27" spans="2:9" x14ac:dyDescent="0.25">
      <c r="B27" s="659" t="s">
        <v>20</v>
      </c>
      <c r="C27" s="654"/>
      <c r="D27" s="11">
        <v>24</v>
      </c>
      <c r="E27" s="244">
        <v>556382.39999999991</v>
      </c>
      <c r="F27" s="46">
        <v>67388</v>
      </c>
      <c r="G27" s="46">
        <v>57995</v>
      </c>
      <c r="H27" s="46">
        <v>50107</v>
      </c>
      <c r="I27" s="226">
        <f t="shared" si="0"/>
        <v>86.398827485128024</v>
      </c>
    </row>
    <row r="28" spans="2:9" x14ac:dyDescent="0.25">
      <c r="E28" s="245"/>
      <c r="F28" s="47"/>
      <c r="G28" s="47"/>
      <c r="H28" s="47"/>
    </row>
    <row r="29" spans="2:9" x14ac:dyDescent="0.25">
      <c r="B29" s="387" t="s">
        <v>304</v>
      </c>
      <c r="C29" s="379"/>
      <c r="D29" s="380"/>
      <c r="E29" s="381">
        <f>SUM(E5:E8,E22,E24)</f>
        <v>207378.2</v>
      </c>
      <c r="F29" s="382">
        <f>SUM(F5:F8,F22,F24)</f>
        <v>26667</v>
      </c>
      <c r="G29" s="382">
        <f>SUM(G5:G8,G22,G24)</f>
        <v>22212</v>
      </c>
      <c r="H29" s="382">
        <f>SUM(H5:H8,H22,H24)</f>
        <v>19586</v>
      </c>
      <c r="I29" s="226">
        <f>SUM(H29/G29)*100</f>
        <v>88.177561678372058</v>
      </c>
    </row>
    <row r="30" spans="2:9" x14ac:dyDescent="0.25">
      <c r="B30" s="387" t="s">
        <v>304</v>
      </c>
      <c r="C30" s="379"/>
      <c r="D30" s="380"/>
      <c r="E30" s="381">
        <v>207378200</v>
      </c>
      <c r="F30" s="382">
        <f>SUM(F5:F8,F22,F24)</f>
        <v>26667</v>
      </c>
      <c r="G30" s="382">
        <f>SUM(G5:G8,G22,G24)</f>
        <v>22212</v>
      </c>
      <c r="H30" s="382">
        <f>SUM(H5:H8,H22,H24)</f>
        <v>19586</v>
      </c>
      <c r="I30" s="226">
        <f>SUM(H30/G30)*100</f>
        <v>88.177561678372058</v>
      </c>
    </row>
    <row r="31" spans="2:9" x14ac:dyDescent="0.25">
      <c r="E31" s="245"/>
      <c r="I31" s="226"/>
    </row>
    <row r="32" spans="2:9" x14ac:dyDescent="0.25">
      <c r="B32" s="387" t="s">
        <v>307</v>
      </c>
      <c r="C32" s="379"/>
      <c r="D32" s="380"/>
      <c r="E32" s="381">
        <f>SUM(E5:E8,E17,E22,E24)</f>
        <v>216717.1</v>
      </c>
      <c r="F32" s="382">
        <f>SUM(F5:F8,F17,F22,F24)</f>
        <v>27930</v>
      </c>
      <c r="G32" s="382">
        <f>SUM(G5:G8,G17,G22,G24)</f>
        <v>23499</v>
      </c>
      <c r="H32" s="382">
        <f>SUM(H5:H8,H17,H22,H24)</f>
        <v>20782</v>
      </c>
      <c r="I32" s="226">
        <f>SUM(H32/G32)*100</f>
        <v>88.437805864079323</v>
      </c>
    </row>
    <row r="33" spans="2:9" x14ac:dyDescent="0.25">
      <c r="B33" s="387"/>
      <c r="C33" s="379"/>
      <c r="D33" s="380"/>
      <c r="E33" s="381"/>
      <c r="F33" s="382"/>
      <c r="G33" s="382"/>
      <c r="H33" s="382"/>
      <c r="I33" s="8"/>
    </row>
  </sheetData>
  <mergeCells count="25">
    <mergeCell ref="B27:C27"/>
    <mergeCell ref="B24:C24"/>
    <mergeCell ref="B25:C25"/>
    <mergeCell ref="B26:C26"/>
    <mergeCell ref="B20:C20"/>
    <mergeCell ref="B21:C21"/>
    <mergeCell ref="B22:C22"/>
    <mergeCell ref="B17:C17"/>
    <mergeCell ref="B18:C18"/>
    <mergeCell ref="B19:C19"/>
    <mergeCell ref="B14:C14"/>
    <mergeCell ref="B15:C15"/>
    <mergeCell ref="B16:C16"/>
    <mergeCell ref="B11:C11"/>
    <mergeCell ref="B12:C12"/>
    <mergeCell ref="B13:C13"/>
    <mergeCell ref="B8:C8"/>
    <mergeCell ref="B9:C9"/>
    <mergeCell ref="B10:C10"/>
    <mergeCell ref="B5:C5"/>
    <mergeCell ref="B6:C6"/>
    <mergeCell ref="B7:C7"/>
    <mergeCell ref="B2:D2"/>
    <mergeCell ref="B3:D3"/>
    <mergeCell ref="B4:C4"/>
  </mergeCells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B1:K40"/>
  <sheetViews>
    <sheetView zoomScale="90" zoomScaleNormal="90" workbookViewId="0">
      <selection activeCell="B1" sqref="B1"/>
    </sheetView>
  </sheetViews>
  <sheetFormatPr defaultRowHeight="14.25" x14ac:dyDescent="0.2"/>
  <cols>
    <col min="1" max="1" width="1.7109375" style="117" customWidth="1"/>
    <col min="2" max="2" width="5.5703125" style="117" customWidth="1"/>
    <col min="3" max="3" width="62.42578125" style="117" customWidth="1"/>
    <col min="4" max="4" width="10.85546875" style="117" customWidth="1"/>
    <col min="5" max="5" width="10.42578125" style="117" customWidth="1"/>
    <col min="6" max="6" width="10.140625" style="117" customWidth="1"/>
    <col min="7" max="7" width="15.140625" style="117" customWidth="1"/>
    <col min="8" max="8" width="14.42578125" style="117" customWidth="1"/>
    <col min="9" max="9" width="10.85546875" style="117" customWidth="1"/>
    <col min="10" max="10" width="12.140625" style="117" customWidth="1"/>
    <col min="11" max="11" width="12.28515625" style="117" customWidth="1"/>
    <col min="12" max="12" width="3.140625" style="117" customWidth="1"/>
    <col min="13" max="16384" width="9.140625" style="117"/>
  </cols>
  <sheetData>
    <row r="1" spans="2:11" ht="15" thickBot="1" x14ac:dyDescent="0.25">
      <c r="B1" s="230" t="s">
        <v>278</v>
      </c>
      <c r="D1" s="118"/>
      <c r="E1" s="118"/>
      <c r="F1" s="118"/>
      <c r="G1" s="416" t="s">
        <v>269</v>
      </c>
      <c r="H1" s="572" t="s">
        <v>266</v>
      </c>
      <c r="I1" s="118"/>
      <c r="J1" s="118"/>
      <c r="K1" s="118"/>
    </row>
    <row r="2" spans="2:11" x14ac:dyDescent="0.2">
      <c r="B2" s="315"/>
      <c r="C2" s="610" t="s">
        <v>323</v>
      </c>
      <c r="D2" s="316"/>
      <c r="E2" s="317"/>
      <c r="F2" s="318"/>
      <c r="G2" s="316"/>
      <c r="H2" s="318"/>
      <c r="I2" s="316"/>
      <c r="J2" s="316"/>
      <c r="K2" s="319"/>
    </row>
    <row r="3" spans="2:11" ht="66" customHeight="1" x14ac:dyDescent="0.2">
      <c r="B3" s="320"/>
      <c r="C3" s="611"/>
      <c r="D3" s="321" t="s">
        <v>108</v>
      </c>
      <c r="E3" s="322" t="s">
        <v>109</v>
      </c>
      <c r="F3" s="323" t="s">
        <v>110</v>
      </c>
      <c r="G3" s="324" t="s">
        <v>111</v>
      </c>
      <c r="H3" s="323" t="s">
        <v>239</v>
      </c>
      <c r="I3" s="321" t="s">
        <v>167</v>
      </c>
      <c r="J3" s="325" t="s">
        <v>186</v>
      </c>
      <c r="K3" s="326" t="s">
        <v>185</v>
      </c>
    </row>
    <row r="4" spans="2:11" ht="36" x14ac:dyDescent="0.2">
      <c r="B4" s="327" t="s">
        <v>106</v>
      </c>
      <c r="C4" s="611"/>
      <c r="D4" s="321"/>
      <c r="E4" s="322"/>
      <c r="F4" s="323"/>
      <c r="G4" s="321" t="s">
        <v>238</v>
      </c>
      <c r="H4" s="323" t="s">
        <v>237</v>
      </c>
      <c r="I4" s="321"/>
      <c r="J4" s="328"/>
      <c r="K4" s="323" t="s">
        <v>237</v>
      </c>
    </row>
    <row r="5" spans="2:11" ht="15" thickBot="1" x14ac:dyDescent="0.25">
      <c r="B5" s="329"/>
      <c r="C5" s="612"/>
      <c r="D5" s="330"/>
      <c r="E5" s="331"/>
      <c r="F5" s="332"/>
      <c r="G5" s="330"/>
      <c r="H5" s="332"/>
      <c r="I5" s="330"/>
      <c r="J5" s="330"/>
      <c r="K5" s="333"/>
    </row>
    <row r="6" spans="2:11" x14ac:dyDescent="0.2">
      <c r="B6" s="131">
        <v>1</v>
      </c>
      <c r="C6" s="132" t="s">
        <v>2</v>
      </c>
      <c r="D6" s="133">
        <f>SUM('z19'!F6)</f>
        <v>1467</v>
      </c>
      <c r="E6" s="134">
        <f>SUM('z19'!G6)</f>
        <v>1392</v>
      </c>
      <c r="F6" s="135">
        <f>SUM('z19'!H6)</f>
        <v>1046</v>
      </c>
      <c r="G6" s="136">
        <f>SUM(F6/E6)*100</f>
        <v>75.143678160919535</v>
      </c>
      <c r="H6" s="137">
        <f>SUM(J6/F6)</f>
        <v>4002.5812619502867</v>
      </c>
      <c r="I6" s="136">
        <f>SUM('z19'!E6)</f>
        <v>4186.7</v>
      </c>
      <c r="J6" s="133">
        <f>SUM(I6*1000)</f>
        <v>4186700</v>
      </c>
      <c r="K6" s="138">
        <f>SUM(J6/D6)</f>
        <v>2853.9195637355147</v>
      </c>
    </row>
    <row r="7" spans="2:11" x14ac:dyDescent="0.2">
      <c r="B7" s="119">
        <v>2</v>
      </c>
      <c r="C7" s="120" t="s">
        <v>1</v>
      </c>
      <c r="D7" s="121">
        <f>SUM('z19'!F5)</f>
        <v>10471</v>
      </c>
      <c r="E7" s="122">
        <f>SUM('z19'!G5)</f>
        <v>7126</v>
      </c>
      <c r="F7" s="123">
        <f>SUM('z19'!H5)</f>
        <v>6071</v>
      </c>
      <c r="G7" s="124">
        <f t="shared" ref="G7:G11" si="0">SUM(F7/E7)*100</f>
        <v>85.195060342408084</v>
      </c>
      <c r="H7" s="125">
        <f t="shared" ref="H7:H8" si="1">SUM(J7/F7)</f>
        <v>8663.0373908746496</v>
      </c>
      <c r="I7" s="124">
        <f>SUM('z19'!E5)</f>
        <v>52593.3</v>
      </c>
      <c r="J7" s="121">
        <f t="shared" ref="J7:J11" si="2">SUM(I7*1000)</f>
        <v>52593300</v>
      </c>
      <c r="K7" s="126">
        <f>SUM(J7/D7)</f>
        <v>5022.7580937828288</v>
      </c>
    </row>
    <row r="8" spans="2:11" x14ac:dyDescent="0.2">
      <c r="B8" s="119">
        <v>3</v>
      </c>
      <c r="C8" s="120" t="s">
        <v>3</v>
      </c>
      <c r="D8" s="121">
        <f>SUM('z19'!F7)</f>
        <v>5002</v>
      </c>
      <c r="E8" s="122">
        <f>SUM('z19'!G7)</f>
        <v>3365</v>
      </c>
      <c r="F8" s="123">
        <f>SUM('z19'!H7)</f>
        <v>3148</v>
      </c>
      <c r="G8" s="124">
        <f t="shared" si="0"/>
        <v>93.551263001485879</v>
      </c>
      <c r="H8" s="125">
        <f t="shared" si="1"/>
        <v>5964.7395171537482</v>
      </c>
      <c r="I8" s="124">
        <f>SUM('z19'!E7)</f>
        <v>18777</v>
      </c>
      <c r="J8" s="121">
        <f t="shared" si="2"/>
        <v>18777000</v>
      </c>
      <c r="K8" s="126">
        <f>SUM(J8/D8)</f>
        <v>3753.8984406237505</v>
      </c>
    </row>
    <row r="9" spans="2:11" x14ac:dyDescent="0.2">
      <c r="B9" s="119">
        <v>4</v>
      </c>
      <c r="C9" s="120" t="s">
        <v>4</v>
      </c>
      <c r="D9" s="121">
        <f>SUM('z19'!F8)</f>
        <v>1649</v>
      </c>
      <c r="E9" s="122">
        <f>SUM('z19'!G8)</f>
        <v>1412</v>
      </c>
      <c r="F9" s="123">
        <f>SUM('z19'!H8)</f>
        <v>1334</v>
      </c>
      <c r="G9" s="124">
        <f t="shared" si="0"/>
        <v>94.475920679886684</v>
      </c>
      <c r="H9" s="125">
        <f t="shared" ref="H9:H14" si="3">SUM(J9/F9)</f>
        <v>11255.547226386807</v>
      </c>
      <c r="I9" s="124">
        <f>SUM('z19'!E8)</f>
        <v>15014.9</v>
      </c>
      <c r="J9" s="121">
        <f t="shared" si="2"/>
        <v>15014900</v>
      </c>
      <c r="K9" s="126">
        <f t="shared" ref="K9:K11" si="4">SUM(J9/D9)</f>
        <v>9105.4578532443902</v>
      </c>
    </row>
    <row r="10" spans="2:11" x14ac:dyDescent="0.2">
      <c r="B10" s="119">
        <v>5</v>
      </c>
      <c r="C10" s="120" t="s">
        <v>58</v>
      </c>
      <c r="D10" s="121">
        <f>SUM('z19'!F22)</f>
        <v>2155</v>
      </c>
      <c r="E10" s="122">
        <f>SUM('z19'!G22)</f>
        <v>2471</v>
      </c>
      <c r="F10" s="123">
        <f>SUM('z19'!H22)</f>
        <v>2404</v>
      </c>
      <c r="G10" s="124">
        <f t="shared" si="0"/>
        <v>97.288547146904094</v>
      </c>
      <c r="H10" s="125">
        <f t="shared" si="3"/>
        <v>18290.848585690517</v>
      </c>
      <c r="I10" s="124">
        <f>SUM('z19'!E22)</f>
        <v>43971.199999999997</v>
      </c>
      <c r="J10" s="121">
        <f t="shared" si="2"/>
        <v>43971200</v>
      </c>
      <c r="K10" s="126">
        <f t="shared" si="4"/>
        <v>20404.269141531324</v>
      </c>
    </row>
    <row r="11" spans="2:11" ht="15" customHeight="1" x14ac:dyDescent="0.2">
      <c r="B11" s="139">
        <v>6</v>
      </c>
      <c r="C11" s="140" t="s">
        <v>59</v>
      </c>
      <c r="D11" s="141">
        <f>SUM('z19'!F24)</f>
        <v>1565</v>
      </c>
      <c r="E11" s="142">
        <f>SUM('z19'!G24)</f>
        <v>2198</v>
      </c>
      <c r="F11" s="143">
        <f>SUM('z19'!H24)</f>
        <v>2012</v>
      </c>
      <c r="G11" s="144">
        <f t="shared" si="0"/>
        <v>91.53776160145587</v>
      </c>
      <c r="H11" s="145">
        <f t="shared" si="3"/>
        <v>16204.87077534791</v>
      </c>
      <c r="I11" s="144">
        <f>SUM('z19'!E24)</f>
        <v>32604.199999999997</v>
      </c>
      <c r="J11" s="141">
        <f t="shared" si="2"/>
        <v>32604199.999999996</v>
      </c>
      <c r="K11" s="146">
        <f t="shared" si="4"/>
        <v>20833.354632587856</v>
      </c>
    </row>
    <row r="12" spans="2:11" ht="15" customHeight="1" thickBot="1" x14ac:dyDescent="0.25">
      <c r="B12" s="139">
        <v>7</v>
      </c>
      <c r="C12" s="140" t="s">
        <v>11</v>
      </c>
      <c r="D12" s="141">
        <f>SUM('z19'!F17)</f>
        <v>1464</v>
      </c>
      <c r="E12" s="142">
        <f>SUM('z19'!G17)</f>
        <v>1298</v>
      </c>
      <c r="F12" s="143">
        <f>SUM('z19'!H17)</f>
        <v>1197</v>
      </c>
      <c r="G12" s="144">
        <f>SUM(F12/E12)*100</f>
        <v>92.218798151001536</v>
      </c>
      <c r="H12" s="145">
        <f t="shared" si="3"/>
        <v>9156.4745196324166</v>
      </c>
      <c r="I12" s="144">
        <f>SUM('z19'!E17)</f>
        <v>10960.300000000001</v>
      </c>
      <c r="J12" s="141">
        <f>SUM(I12*1000)</f>
        <v>10960300.000000002</v>
      </c>
      <c r="K12" s="146">
        <f>SUM(J12/D12)</f>
        <v>7486.5437158469958</v>
      </c>
    </row>
    <row r="13" spans="2:11" ht="15" thickBot="1" x14ac:dyDescent="0.25">
      <c r="B13" s="334">
        <v>8</v>
      </c>
      <c r="C13" s="335" t="s">
        <v>305</v>
      </c>
      <c r="D13" s="336">
        <f>SUM(D6:D11)</f>
        <v>22309</v>
      </c>
      <c r="E13" s="337">
        <f>SUM(E6:E11)</f>
        <v>17964</v>
      </c>
      <c r="F13" s="338">
        <f>SUM(F6:F11)</f>
        <v>16015</v>
      </c>
      <c r="G13" s="339">
        <f>SUM(F13/E13)*100</f>
        <v>89.150523268759741</v>
      </c>
      <c r="H13" s="340">
        <f t="shared" si="3"/>
        <v>10436.921635966282</v>
      </c>
      <c r="I13" s="339">
        <f>SUM(I6:I11)</f>
        <v>167147.29999999999</v>
      </c>
      <c r="J13" s="336">
        <f>SUM(I13*1000)</f>
        <v>167147300</v>
      </c>
      <c r="K13" s="342">
        <f>SUM(J13/D13)</f>
        <v>7492.3707920570178</v>
      </c>
    </row>
    <row r="14" spans="2:11" ht="15" thickBot="1" x14ac:dyDescent="0.25">
      <c r="B14" s="334">
        <v>9</v>
      </c>
      <c r="C14" s="335" t="s">
        <v>309</v>
      </c>
      <c r="D14" s="336">
        <f>SUM(D6:D12)</f>
        <v>23773</v>
      </c>
      <c r="E14" s="337">
        <f>SUM(E6:E12)</f>
        <v>19262</v>
      </c>
      <c r="F14" s="338">
        <f>SUM(F6:F12)</f>
        <v>17212</v>
      </c>
      <c r="G14" s="339">
        <f>SUM(F14/E14)*100</f>
        <v>89.357283771155636</v>
      </c>
      <c r="H14" s="340">
        <f t="shared" si="3"/>
        <v>10347.87357657448</v>
      </c>
      <c r="I14" s="339">
        <f>SUM(I6:I12)</f>
        <v>178107.59999999998</v>
      </c>
      <c r="J14" s="336">
        <f>SUM(I14*1000)</f>
        <v>178107599.99999997</v>
      </c>
      <c r="K14" s="342">
        <f>SUM(J14/D14)</f>
        <v>7492.0119463256624</v>
      </c>
    </row>
    <row r="16" spans="2:11" x14ac:dyDescent="0.2">
      <c r="I16" s="129"/>
      <c r="J16" s="128"/>
    </row>
    <row r="17" spans="6:10" x14ac:dyDescent="0.2">
      <c r="I17" s="129"/>
      <c r="J17" s="130"/>
    </row>
    <row r="18" spans="6:10" x14ac:dyDescent="0.2">
      <c r="I18" s="130"/>
      <c r="J18" s="149"/>
    </row>
    <row r="19" spans="6:10" ht="12" customHeight="1" x14ac:dyDescent="0.2">
      <c r="I19" s="130"/>
      <c r="J19" s="149"/>
    </row>
    <row r="20" spans="6:10" x14ac:dyDescent="0.2">
      <c r="G20" s="127"/>
      <c r="I20" s="130"/>
      <c r="J20" s="149"/>
    </row>
    <row r="21" spans="6:10" x14ac:dyDescent="0.2">
      <c r="G21" s="127"/>
      <c r="I21" s="130"/>
      <c r="J21" s="149"/>
    </row>
    <row r="22" spans="6:10" ht="16.5" customHeight="1" x14ac:dyDescent="0.2">
      <c r="G22" s="127"/>
      <c r="I22" s="130"/>
      <c r="J22" s="149"/>
    </row>
    <row r="23" spans="6:10" ht="15" customHeight="1" x14ac:dyDescent="0.2">
      <c r="F23" s="127"/>
      <c r="G23" s="127"/>
      <c r="I23" s="130"/>
      <c r="J23" s="149"/>
    </row>
    <row r="24" spans="6:10" ht="15" customHeight="1" x14ac:dyDescent="0.2">
      <c r="G24" s="127"/>
    </row>
    <row r="25" spans="6:10" ht="18.75" customHeight="1" x14ac:dyDescent="0.2">
      <c r="G25" s="127"/>
    </row>
    <row r="26" spans="6:10" ht="15.75" customHeight="1" x14ac:dyDescent="0.2">
      <c r="G26" s="127"/>
    </row>
    <row r="27" spans="6:10" ht="18" customHeight="1" x14ac:dyDescent="0.2"/>
    <row r="28" spans="6:10" ht="15" customHeight="1" x14ac:dyDescent="0.2"/>
    <row r="33" ht="63" customHeight="1" x14ac:dyDescent="0.2"/>
    <row r="36" ht="15" customHeight="1" x14ac:dyDescent="0.2"/>
    <row r="37" ht="18.75" customHeight="1" x14ac:dyDescent="0.2"/>
    <row r="38" ht="15.75" customHeight="1" x14ac:dyDescent="0.2"/>
    <row r="39" ht="14.25" customHeight="1" x14ac:dyDescent="0.2"/>
    <row r="40" ht="12" customHeight="1" x14ac:dyDescent="0.2"/>
  </sheetData>
  <mergeCells count="1">
    <mergeCell ref="C2:C5"/>
  </mergeCells>
  <pageMargins left="0.7" right="0.7" top="0.75" bottom="0.75" header="0.3" footer="0.3"/>
  <pageSetup paperSize="9" scale="78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5" tint="0.79998168889431442"/>
    <pageSetUpPr fitToPage="1"/>
  </sheetPr>
  <dimension ref="B1:I33"/>
  <sheetViews>
    <sheetView zoomScale="90" zoomScaleNormal="90" workbookViewId="0">
      <selection activeCell="B1" sqref="B1"/>
    </sheetView>
  </sheetViews>
  <sheetFormatPr defaultRowHeight="15" x14ac:dyDescent="0.25"/>
  <cols>
    <col min="1" max="1" width="3.28515625" style="8" customWidth="1"/>
    <col min="2" max="2" width="9.140625" style="8"/>
    <col min="3" max="3" width="55.5703125" style="8" customWidth="1"/>
    <col min="4" max="4" width="5.140625" style="8" customWidth="1"/>
    <col min="5" max="5" width="18" style="8" customWidth="1"/>
    <col min="6" max="6" width="21.85546875" style="8" customWidth="1"/>
    <col min="7" max="7" width="22.85546875" style="8" customWidth="1"/>
    <col min="8" max="8" width="19.5703125" style="8" customWidth="1"/>
    <col min="9" max="9" width="10.42578125" style="13" bestFit="1" customWidth="1"/>
    <col min="10" max="16384" width="9.140625" style="8"/>
  </cols>
  <sheetData>
    <row r="1" spans="2:9" x14ac:dyDescent="0.25">
      <c r="B1" s="111" t="s">
        <v>331</v>
      </c>
      <c r="I1" s="8"/>
    </row>
    <row r="2" spans="2:9" ht="52.5" x14ac:dyDescent="0.25">
      <c r="B2" s="666" t="s">
        <v>21</v>
      </c>
      <c r="C2" s="666"/>
      <c r="D2" s="666"/>
      <c r="E2" s="374" t="s">
        <v>117</v>
      </c>
      <c r="F2" s="375" t="s">
        <v>118</v>
      </c>
      <c r="G2" s="375" t="s">
        <v>119</v>
      </c>
      <c r="H2" s="375" t="s">
        <v>120</v>
      </c>
      <c r="I2" s="8"/>
    </row>
    <row r="3" spans="2:9" x14ac:dyDescent="0.25">
      <c r="B3" s="666">
        <v>0</v>
      </c>
      <c r="C3" s="666"/>
      <c r="D3" s="666"/>
      <c r="E3" s="374">
        <v>1</v>
      </c>
      <c r="F3" s="375">
        <v>2</v>
      </c>
      <c r="G3" s="375">
        <v>3</v>
      </c>
      <c r="H3" s="375">
        <v>4</v>
      </c>
      <c r="I3" s="8"/>
    </row>
    <row r="4" spans="2:9" x14ac:dyDescent="0.25">
      <c r="B4" s="661" t="s">
        <v>0</v>
      </c>
      <c r="C4" s="662"/>
      <c r="D4" s="11" t="s">
        <v>27</v>
      </c>
      <c r="E4" s="244">
        <v>340704.79999999987</v>
      </c>
      <c r="F4" s="46">
        <v>41951</v>
      </c>
      <c r="G4" s="46">
        <v>28134</v>
      </c>
      <c r="H4" s="46">
        <v>23547</v>
      </c>
      <c r="I4" s="8"/>
    </row>
    <row r="5" spans="2:9" x14ac:dyDescent="0.25">
      <c r="B5" s="656" t="s">
        <v>121</v>
      </c>
      <c r="C5" s="655"/>
      <c r="D5" s="376" t="s">
        <v>28</v>
      </c>
      <c r="E5" s="377">
        <v>86595.300000000017</v>
      </c>
      <c r="F5" s="378">
        <v>15808</v>
      </c>
      <c r="G5" s="378">
        <v>11017</v>
      </c>
      <c r="H5" s="378">
        <v>9307</v>
      </c>
      <c r="I5" s="226">
        <f t="shared" ref="I5:I27" si="0">SUM(H5/G5)*100</f>
        <v>84.478533176000724</v>
      </c>
    </row>
    <row r="6" spans="2:9" x14ac:dyDescent="0.25">
      <c r="B6" s="667" t="s">
        <v>2</v>
      </c>
      <c r="C6" s="665"/>
      <c r="D6" s="376" t="s">
        <v>29</v>
      </c>
      <c r="E6" s="377">
        <v>6180.6</v>
      </c>
      <c r="F6" s="378">
        <v>2120</v>
      </c>
      <c r="G6" s="378">
        <v>1847</v>
      </c>
      <c r="H6" s="378">
        <v>1191</v>
      </c>
      <c r="I6" s="226">
        <f t="shared" si="0"/>
        <v>64.48294531672984</v>
      </c>
    </row>
    <row r="7" spans="2:9" x14ac:dyDescent="0.25">
      <c r="B7" s="665" t="s">
        <v>3</v>
      </c>
      <c r="C7" s="665"/>
      <c r="D7" s="376" t="s">
        <v>30</v>
      </c>
      <c r="E7" s="377">
        <v>22957.3</v>
      </c>
      <c r="F7" s="378">
        <v>5479</v>
      </c>
      <c r="G7" s="378">
        <v>3520</v>
      </c>
      <c r="H7" s="378">
        <v>3187</v>
      </c>
      <c r="I7" s="226">
        <f t="shared" si="0"/>
        <v>90.539772727272734</v>
      </c>
    </row>
    <row r="8" spans="2:9" x14ac:dyDescent="0.25">
      <c r="B8" s="660" t="s">
        <v>4</v>
      </c>
      <c r="C8" s="660"/>
      <c r="D8" s="376" t="s">
        <v>31</v>
      </c>
      <c r="E8" s="377">
        <v>27307.699999999993</v>
      </c>
      <c r="F8" s="378">
        <v>2740</v>
      </c>
      <c r="G8" s="378">
        <v>2360</v>
      </c>
      <c r="H8" s="378">
        <v>2165</v>
      </c>
      <c r="I8" s="226">
        <f t="shared" si="0"/>
        <v>91.737288135593218</v>
      </c>
    </row>
    <row r="9" spans="2:9" x14ac:dyDescent="0.25">
      <c r="B9" s="661" t="s">
        <v>5</v>
      </c>
      <c r="C9" s="662"/>
      <c r="D9" s="11" t="s">
        <v>32</v>
      </c>
      <c r="E9" s="244">
        <v>1009.1000000000001</v>
      </c>
      <c r="F9" s="46">
        <v>1024</v>
      </c>
      <c r="G9" s="46">
        <v>797</v>
      </c>
      <c r="H9" s="46">
        <v>129</v>
      </c>
      <c r="I9" s="226">
        <f t="shared" si="0"/>
        <v>16.185696361355081</v>
      </c>
    </row>
    <row r="10" spans="2:9" x14ac:dyDescent="0.25">
      <c r="B10" s="663" t="s">
        <v>122</v>
      </c>
      <c r="C10" s="663"/>
      <c r="D10" s="11" t="s">
        <v>33</v>
      </c>
      <c r="E10" s="244">
        <v>55.9</v>
      </c>
      <c r="F10" s="46">
        <v>118</v>
      </c>
      <c r="G10" s="46">
        <v>116</v>
      </c>
      <c r="H10" s="46">
        <v>6</v>
      </c>
      <c r="I10" s="226">
        <f t="shared" si="0"/>
        <v>5.1724137931034484</v>
      </c>
    </row>
    <row r="11" spans="2:9" x14ac:dyDescent="0.25">
      <c r="B11" s="662" t="s">
        <v>6</v>
      </c>
      <c r="C11" s="662"/>
      <c r="D11" s="11" t="s">
        <v>34</v>
      </c>
      <c r="E11" s="244">
        <v>102.30000000000001</v>
      </c>
      <c r="F11" s="46">
        <v>26</v>
      </c>
      <c r="G11" s="46">
        <v>13</v>
      </c>
      <c r="H11" s="46">
        <v>10</v>
      </c>
      <c r="I11" s="226">
        <f t="shared" si="0"/>
        <v>76.923076923076934</v>
      </c>
    </row>
    <row r="12" spans="2:9" x14ac:dyDescent="0.25">
      <c r="B12" s="662" t="s">
        <v>7</v>
      </c>
      <c r="C12" s="662"/>
      <c r="D12" s="11" t="s">
        <v>35</v>
      </c>
      <c r="E12" s="244">
        <v>56.199999999999996</v>
      </c>
      <c r="F12" s="46">
        <v>6</v>
      </c>
      <c r="G12" s="46">
        <v>3</v>
      </c>
      <c r="H12" s="46">
        <v>3</v>
      </c>
      <c r="I12" s="226">
        <f t="shared" si="0"/>
        <v>100</v>
      </c>
    </row>
    <row r="13" spans="2:9" x14ac:dyDescent="0.25">
      <c r="B13" s="654" t="s">
        <v>8</v>
      </c>
      <c r="C13" s="654"/>
      <c r="D13" s="11" t="s">
        <v>36</v>
      </c>
      <c r="E13" s="244">
        <v>11.6</v>
      </c>
      <c r="F13" s="46">
        <v>3</v>
      </c>
      <c r="G13" s="46">
        <v>0</v>
      </c>
      <c r="H13" s="46">
        <v>0</v>
      </c>
      <c r="I13" s="226"/>
    </row>
    <row r="14" spans="2:9" x14ac:dyDescent="0.25">
      <c r="B14" s="664" t="s">
        <v>123</v>
      </c>
      <c r="C14" s="664"/>
      <c r="D14" s="11" t="s">
        <v>37</v>
      </c>
      <c r="E14" s="244">
        <v>42.4</v>
      </c>
      <c r="F14" s="46">
        <v>6</v>
      </c>
      <c r="G14" s="46">
        <v>0</v>
      </c>
      <c r="H14" s="46">
        <v>0</v>
      </c>
      <c r="I14" s="226"/>
    </row>
    <row r="15" spans="2:9" x14ac:dyDescent="0.25">
      <c r="B15" s="661" t="s">
        <v>9</v>
      </c>
      <c r="C15" s="662"/>
      <c r="D15" s="11" t="s">
        <v>26</v>
      </c>
      <c r="E15" s="244">
        <v>763.90000000000009</v>
      </c>
      <c r="F15" s="46">
        <v>308</v>
      </c>
      <c r="G15" s="46">
        <v>244</v>
      </c>
      <c r="H15" s="46">
        <v>85</v>
      </c>
      <c r="I15" s="226">
        <f t="shared" si="0"/>
        <v>34.83606557377049</v>
      </c>
    </row>
    <row r="16" spans="2:9" x14ac:dyDescent="0.25">
      <c r="B16" s="654" t="s">
        <v>10</v>
      </c>
      <c r="C16" s="654"/>
      <c r="D16" s="11" t="s">
        <v>38</v>
      </c>
      <c r="E16" s="244">
        <v>1218.1999999999998</v>
      </c>
      <c r="F16" s="46">
        <v>253</v>
      </c>
      <c r="G16" s="46">
        <v>114</v>
      </c>
      <c r="H16" s="46">
        <v>99</v>
      </c>
      <c r="I16" s="226">
        <f t="shared" si="0"/>
        <v>86.842105263157904</v>
      </c>
    </row>
    <row r="17" spans="2:9" x14ac:dyDescent="0.25">
      <c r="B17" s="665" t="s">
        <v>11</v>
      </c>
      <c r="C17" s="665"/>
      <c r="D17" s="376" t="s">
        <v>39</v>
      </c>
      <c r="E17" s="377">
        <v>10364.599999999999</v>
      </c>
      <c r="F17" s="378">
        <v>1389</v>
      </c>
      <c r="G17" s="378">
        <v>1138</v>
      </c>
      <c r="H17" s="378">
        <v>1044</v>
      </c>
      <c r="I17" s="226">
        <f t="shared" si="0"/>
        <v>91.739894551845353</v>
      </c>
    </row>
    <row r="18" spans="2:9" x14ac:dyDescent="0.25">
      <c r="B18" s="653" t="s">
        <v>12</v>
      </c>
      <c r="C18" s="653"/>
      <c r="D18" s="11" t="s">
        <v>40</v>
      </c>
      <c r="E18" s="244">
        <v>2419.1999999999998</v>
      </c>
      <c r="F18" s="46">
        <v>438</v>
      </c>
      <c r="G18" s="46">
        <v>191</v>
      </c>
      <c r="H18" s="46">
        <v>158</v>
      </c>
      <c r="I18" s="226">
        <f t="shared" si="0"/>
        <v>82.722513089005233</v>
      </c>
    </row>
    <row r="19" spans="2:9" x14ac:dyDescent="0.25">
      <c r="B19" s="654" t="s">
        <v>13</v>
      </c>
      <c r="C19" s="654"/>
      <c r="D19" s="11" t="s">
        <v>41</v>
      </c>
      <c r="E19" s="244">
        <v>3.5</v>
      </c>
      <c r="F19" s="46">
        <v>1</v>
      </c>
      <c r="G19" s="46">
        <v>0</v>
      </c>
      <c r="H19" s="46">
        <v>0</v>
      </c>
      <c r="I19" s="226"/>
    </row>
    <row r="20" spans="2:9" x14ac:dyDescent="0.25">
      <c r="B20" s="653" t="s">
        <v>14</v>
      </c>
      <c r="C20" s="653"/>
      <c r="D20" s="11" t="s">
        <v>42</v>
      </c>
      <c r="E20" s="244">
        <v>46.900000000000006</v>
      </c>
      <c r="F20" s="46">
        <v>15</v>
      </c>
      <c r="G20" s="46">
        <v>6</v>
      </c>
      <c r="H20" s="46">
        <v>5</v>
      </c>
      <c r="I20" s="226">
        <f t="shared" si="0"/>
        <v>83.333333333333343</v>
      </c>
    </row>
    <row r="21" spans="2:9" x14ac:dyDescent="0.25">
      <c r="B21" s="654" t="s">
        <v>15</v>
      </c>
      <c r="C21" s="654"/>
      <c r="D21" s="11" t="s">
        <v>43</v>
      </c>
      <c r="E21" s="244">
        <v>0</v>
      </c>
      <c r="F21" s="46">
        <v>0</v>
      </c>
      <c r="G21" s="46">
        <v>0</v>
      </c>
      <c r="H21" s="46">
        <v>0</v>
      </c>
      <c r="I21" s="226"/>
    </row>
    <row r="22" spans="2:9" x14ac:dyDescent="0.25">
      <c r="B22" s="655" t="s">
        <v>16</v>
      </c>
      <c r="C22" s="655"/>
      <c r="D22" s="376" t="s">
        <v>44</v>
      </c>
      <c r="E22" s="377">
        <v>56559</v>
      </c>
      <c r="F22" s="378">
        <v>2671</v>
      </c>
      <c r="G22" s="378">
        <v>3056</v>
      </c>
      <c r="H22" s="378">
        <v>2913</v>
      </c>
      <c r="I22" s="226">
        <f t="shared" si="0"/>
        <v>95.320680628272243</v>
      </c>
    </row>
    <row r="23" spans="2:9" ht="15.75" customHeight="1" x14ac:dyDescent="0.25">
      <c r="B23" s="12" t="s">
        <v>124</v>
      </c>
      <c r="C23" s="39" t="s">
        <v>125</v>
      </c>
      <c r="D23" s="11" t="s">
        <v>45</v>
      </c>
      <c r="E23" s="244">
        <v>13</v>
      </c>
      <c r="F23" s="46">
        <v>1</v>
      </c>
      <c r="G23" s="46">
        <v>0</v>
      </c>
      <c r="H23" s="46">
        <v>0</v>
      </c>
      <c r="I23" s="226"/>
    </row>
    <row r="24" spans="2:9" x14ac:dyDescent="0.25">
      <c r="B24" s="656" t="s">
        <v>17</v>
      </c>
      <c r="C24" s="655"/>
      <c r="D24" s="376" t="s">
        <v>46</v>
      </c>
      <c r="E24" s="377">
        <v>49408.599999999991</v>
      </c>
      <c r="F24" s="378">
        <v>2345</v>
      </c>
      <c r="G24" s="378">
        <v>2931</v>
      </c>
      <c r="H24" s="378">
        <v>2540</v>
      </c>
      <c r="I24" s="226">
        <f t="shared" si="0"/>
        <v>86.659843056977138</v>
      </c>
    </row>
    <row r="25" spans="2:9" x14ac:dyDescent="0.25">
      <c r="B25" s="661" t="s">
        <v>18</v>
      </c>
      <c r="C25" s="662"/>
      <c r="D25" s="11" t="s">
        <v>47</v>
      </c>
      <c r="E25" s="244">
        <v>453.1</v>
      </c>
      <c r="F25" s="46">
        <v>96</v>
      </c>
      <c r="G25" s="46">
        <v>121</v>
      </c>
      <c r="H25" s="46">
        <v>75</v>
      </c>
      <c r="I25" s="226">
        <f t="shared" si="0"/>
        <v>61.983471074380169</v>
      </c>
    </row>
    <row r="26" spans="2:9" x14ac:dyDescent="0.25">
      <c r="B26" s="657" t="s">
        <v>19</v>
      </c>
      <c r="C26" s="658"/>
      <c r="D26" s="11" t="s">
        <v>48</v>
      </c>
      <c r="E26" s="244">
        <v>75149.400000000009</v>
      </c>
      <c r="F26" s="46">
        <v>7105</v>
      </c>
      <c r="G26" s="46">
        <v>660</v>
      </c>
      <c r="H26" s="46">
        <v>630</v>
      </c>
      <c r="I26" s="226">
        <f t="shared" si="0"/>
        <v>95.454545454545453</v>
      </c>
    </row>
    <row r="27" spans="2:9" x14ac:dyDescent="0.25">
      <c r="B27" s="659" t="s">
        <v>20</v>
      </c>
      <c r="C27" s="654"/>
      <c r="D27" s="11">
        <v>24</v>
      </c>
      <c r="E27" s="244">
        <v>681422.59999999974</v>
      </c>
      <c r="F27" s="46">
        <v>83903</v>
      </c>
      <c r="G27" s="46">
        <v>56268</v>
      </c>
      <c r="H27" s="46">
        <v>47094</v>
      </c>
      <c r="I27" s="226">
        <f t="shared" si="0"/>
        <v>83.695883983791859</v>
      </c>
    </row>
    <row r="28" spans="2:9" x14ac:dyDescent="0.25">
      <c r="E28" s="245"/>
      <c r="F28" s="47"/>
      <c r="G28" s="47"/>
      <c r="H28" s="47"/>
    </row>
    <row r="29" spans="2:9" x14ac:dyDescent="0.25">
      <c r="B29" s="387" t="s">
        <v>304</v>
      </c>
      <c r="C29" s="379"/>
      <c r="D29" s="380"/>
      <c r="E29" s="381">
        <f>SUM(E5:E8,E22,E24)</f>
        <v>249008.5</v>
      </c>
      <c r="F29" s="382">
        <f>SUM(F5:F8,F22,F24)</f>
        <v>31163</v>
      </c>
      <c r="G29" s="382">
        <f>SUM(G5:G8,G22,G24)</f>
        <v>24731</v>
      </c>
      <c r="H29" s="382">
        <f>SUM(H5:H8,H22,H24)</f>
        <v>21303</v>
      </c>
      <c r="I29" s="226">
        <f>SUM(H29/G29)*100</f>
        <v>86.138854069790952</v>
      </c>
    </row>
    <row r="30" spans="2:9" x14ac:dyDescent="0.25">
      <c r="B30" s="387" t="s">
        <v>304</v>
      </c>
      <c r="C30" s="379"/>
      <c r="D30" s="380"/>
      <c r="E30" s="381">
        <f>SUM(E29*1000)</f>
        <v>249008500</v>
      </c>
      <c r="F30" s="382">
        <f>SUM(F5:F8,F22,F24)</f>
        <v>31163</v>
      </c>
      <c r="G30" s="382">
        <f>SUM(G5:G8,G22,G24)</f>
        <v>24731</v>
      </c>
      <c r="H30" s="382">
        <f>SUM(H5:H8,H22,H24)</f>
        <v>21303</v>
      </c>
    </row>
    <row r="31" spans="2:9" x14ac:dyDescent="0.25">
      <c r="E31" s="245"/>
    </row>
    <row r="32" spans="2:9" x14ac:dyDescent="0.25">
      <c r="B32" s="387" t="s">
        <v>307</v>
      </c>
      <c r="C32" s="379"/>
      <c r="D32" s="380"/>
      <c r="E32" s="381">
        <f>SUM(E5:E8,E17,E22,E24)</f>
        <v>259373.10000000003</v>
      </c>
      <c r="F32" s="382">
        <f>SUM(F5:F8,F17,F22,F24)</f>
        <v>32552</v>
      </c>
      <c r="G32" s="382">
        <f>SUM(G5:G8,G17,G22,G24)</f>
        <v>25869</v>
      </c>
      <c r="H32" s="382">
        <f>SUM(H5:H8,H17,H22,H24)</f>
        <v>22347</v>
      </c>
      <c r="I32" s="226">
        <f>SUM(H32/G32)*100</f>
        <v>86.38524875333411</v>
      </c>
    </row>
    <row r="33" spans="2:8" x14ac:dyDescent="0.25">
      <c r="B33" s="387"/>
      <c r="C33" s="379"/>
      <c r="D33" s="380"/>
      <c r="E33" s="381"/>
      <c r="F33" s="382"/>
      <c r="G33" s="382"/>
      <c r="H33" s="382"/>
    </row>
  </sheetData>
  <mergeCells count="25">
    <mergeCell ref="B27:C27"/>
    <mergeCell ref="B20:C20"/>
    <mergeCell ref="B21:C21"/>
    <mergeCell ref="B22:C22"/>
    <mergeCell ref="B24:C24"/>
    <mergeCell ref="B25:C25"/>
    <mergeCell ref="B26:C26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B2:D2"/>
    <mergeCell ref="B3:D3"/>
    <mergeCell ref="B4:C4"/>
    <mergeCell ref="B5:C5"/>
    <mergeCell ref="B6:C6"/>
  </mergeCells>
  <pageMargins left="0.7" right="0.7" top="0.75" bottom="0.75" header="0.3" footer="0.3"/>
  <pageSetup paperSize="9" scale="8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5" tint="0.79998168889431442"/>
    <pageSetUpPr fitToPage="1"/>
  </sheetPr>
  <dimension ref="B1:I33"/>
  <sheetViews>
    <sheetView zoomScale="90" zoomScaleNormal="90" workbookViewId="0">
      <selection activeCell="B1" sqref="B1"/>
    </sheetView>
  </sheetViews>
  <sheetFormatPr defaultRowHeight="15" x14ac:dyDescent="0.25"/>
  <cols>
    <col min="1" max="1" width="3.28515625" style="8" customWidth="1"/>
    <col min="2" max="2" width="9.140625" style="8"/>
    <col min="3" max="3" width="55.5703125" style="8" customWidth="1"/>
    <col min="4" max="4" width="5.140625" style="8" customWidth="1"/>
    <col min="5" max="5" width="18" style="8" customWidth="1"/>
    <col min="6" max="6" width="21.85546875" style="8" customWidth="1"/>
    <col min="7" max="7" width="23" style="8" customWidth="1"/>
    <col min="8" max="8" width="19.5703125" style="8" customWidth="1"/>
    <col min="9" max="9" width="10.42578125" style="13" bestFit="1" customWidth="1"/>
    <col min="10" max="16384" width="9.140625" style="8"/>
  </cols>
  <sheetData>
    <row r="1" spans="2:9" x14ac:dyDescent="0.25">
      <c r="B1" s="111" t="s">
        <v>332</v>
      </c>
      <c r="I1" s="8"/>
    </row>
    <row r="2" spans="2:9" ht="52.5" x14ac:dyDescent="0.25">
      <c r="B2" s="666" t="s">
        <v>21</v>
      </c>
      <c r="C2" s="666"/>
      <c r="D2" s="666"/>
      <c r="E2" s="374" t="s">
        <v>117</v>
      </c>
      <c r="F2" s="375" t="s">
        <v>118</v>
      </c>
      <c r="G2" s="375" t="s">
        <v>119</v>
      </c>
      <c r="H2" s="375" t="s">
        <v>120</v>
      </c>
      <c r="I2" s="8"/>
    </row>
    <row r="3" spans="2:9" x14ac:dyDescent="0.25">
      <c r="B3" s="666">
        <v>0</v>
      </c>
      <c r="C3" s="666"/>
      <c r="D3" s="666"/>
      <c r="E3" s="374">
        <v>1</v>
      </c>
      <c r="F3" s="375">
        <v>2</v>
      </c>
      <c r="G3" s="375">
        <v>3</v>
      </c>
      <c r="H3" s="375">
        <v>4</v>
      </c>
      <c r="I3" s="8"/>
    </row>
    <row r="4" spans="2:9" x14ac:dyDescent="0.25">
      <c r="B4" s="661" t="s">
        <v>0</v>
      </c>
      <c r="C4" s="662"/>
      <c r="D4" s="11" t="s">
        <v>27</v>
      </c>
      <c r="E4" s="244">
        <v>322493.40000000002</v>
      </c>
      <c r="F4" s="46">
        <v>43163</v>
      </c>
      <c r="G4" s="46">
        <v>30941</v>
      </c>
      <c r="H4" s="46">
        <v>24255</v>
      </c>
      <c r="I4" s="8"/>
    </row>
    <row r="5" spans="2:9" x14ac:dyDescent="0.25">
      <c r="B5" s="656" t="s">
        <v>121</v>
      </c>
      <c r="C5" s="655"/>
      <c r="D5" s="376" t="s">
        <v>28</v>
      </c>
      <c r="E5" s="377">
        <v>100114.6</v>
      </c>
      <c r="F5" s="378">
        <v>18800</v>
      </c>
      <c r="G5" s="378">
        <v>13100</v>
      </c>
      <c r="H5" s="378">
        <v>10734</v>
      </c>
      <c r="I5" s="226">
        <f t="shared" ref="I5:I27" si="0">SUM(H5/G5)*100</f>
        <v>81.938931297709928</v>
      </c>
    </row>
    <row r="6" spans="2:9" x14ac:dyDescent="0.25">
      <c r="B6" s="667" t="s">
        <v>2</v>
      </c>
      <c r="C6" s="665"/>
      <c r="D6" s="376" t="s">
        <v>29</v>
      </c>
      <c r="E6" s="377">
        <v>9040.8999999999978</v>
      </c>
      <c r="F6" s="378">
        <v>3507</v>
      </c>
      <c r="G6" s="378">
        <v>3183</v>
      </c>
      <c r="H6" s="378">
        <v>1606</v>
      </c>
      <c r="I6" s="226">
        <f t="shared" si="0"/>
        <v>50.45554508325479</v>
      </c>
    </row>
    <row r="7" spans="2:9" x14ac:dyDescent="0.25">
      <c r="B7" s="665" t="s">
        <v>3</v>
      </c>
      <c r="C7" s="665"/>
      <c r="D7" s="376" t="s">
        <v>30</v>
      </c>
      <c r="E7" s="377">
        <v>22091.7</v>
      </c>
      <c r="F7" s="378">
        <v>5421</v>
      </c>
      <c r="G7" s="378">
        <v>3941</v>
      </c>
      <c r="H7" s="378">
        <v>3403</v>
      </c>
      <c r="I7" s="226">
        <f t="shared" si="0"/>
        <v>86.348642476528809</v>
      </c>
    </row>
    <row r="8" spans="2:9" x14ac:dyDescent="0.25">
      <c r="B8" s="660" t="s">
        <v>4</v>
      </c>
      <c r="C8" s="660"/>
      <c r="D8" s="376" t="s">
        <v>31</v>
      </c>
      <c r="E8" s="377">
        <v>25153.499999999996</v>
      </c>
      <c r="F8" s="378">
        <v>2615</v>
      </c>
      <c r="G8" s="378">
        <v>2277</v>
      </c>
      <c r="H8" s="378">
        <v>1955</v>
      </c>
      <c r="I8" s="226">
        <f t="shared" si="0"/>
        <v>85.858585858585855</v>
      </c>
    </row>
    <row r="9" spans="2:9" x14ac:dyDescent="0.25">
      <c r="B9" s="661" t="s">
        <v>5</v>
      </c>
      <c r="C9" s="662"/>
      <c r="D9" s="11" t="s">
        <v>32</v>
      </c>
      <c r="E9" s="244">
        <v>1159.4000000000001</v>
      </c>
      <c r="F9" s="46">
        <v>1080</v>
      </c>
      <c r="G9" s="46">
        <v>892</v>
      </c>
      <c r="H9" s="46">
        <v>134</v>
      </c>
      <c r="I9" s="226">
        <f t="shared" si="0"/>
        <v>15.022421524663676</v>
      </c>
    </row>
    <row r="10" spans="2:9" x14ac:dyDescent="0.25">
      <c r="B10" s="663" t="s">
        <v>122</v>
      </c>
      <c r="C10" s="663"/>
      <c r="D10" s="11" t="s">
        <v>33</v>
      </c>
      <c r="E10" s="244">
        <v>84.2</v>
      </c>
      <c r="F10" s="46">
        <v>144</v>
      </c>
      <c r="G10" s="46">
        <v>137</v>
      </c>
      <c r="H10" s="46">
        <v>5</v>
      </c>
      <c r="I10" s="226">
        <f t="shared" si="0"/>
        <v>3.6496350364963499</v>
      </c>
    </row>
    <row r="11" spans="2:9" x14ac:dyDescent="0.25">
      <c r="B11" s="662" t="s">
        <v>6</v>
      </c>
      <c r="C11" s="662"/>
      <c r="D11" s="11" t="s">
        <v>34</v>
      </c>
      <c r="E11" s="244">
        <v>130.4</v>
      </c>
      <c r="F11" s="46">
        <v>36</v>
      </c>
      <c r="G11" s="46">
        <v>21</v>
      </c>
      <c r="H11" s="46">
        <v>20</v>
      </c>
      <c r="I11" s="226">
        <f t="shared" si="0"/>
        <v>95.238095238095227</v>
      </c>
    </row>
    <row r="12" spans="2:9" x14ac:dyDescent="0.25">
      <c r="B12" s="662" t="s">
        <v>7</v>
      </c>
      <c r="C12" s="662"/>
      <c r="D12" s="11" t="s">
        <v>35</v>
      </c>
      <c r="E12" s="244">
        <v>106.80000000000001</v>
      </c>
      <c r="F12" s="46">
        <v>12</v>
      </c>
      <c r="G12" s="46">
        <v>6</v>
      </c>
      <c r="H12" s="46">
        <v>6</v>
      </c>
      <c r="I12" s="226">
        <f t="shared" si="0"/>
        <v>100</v>
      </c>
    </row>
    <row r="13" spans="2:9" x14ac:dyDescent="0.25">
      <c r="B13" s="654" t="s">
        <v>8</v>
      </c>
      <c r="C13" s="654"/>
      <c r="D13" s="11" t="s">
        <v>36</v>
      </c>
      <c r="E13" s="244">
        <v>17.5</v>
      </c>
      <c r="F13" s="46">
        <v>4</v>
      </c>
      <c r="G13" s="46">
        <v>2</v>
      </c>
      <c r="H13" s="46">
        <v>0</v>
      </c>
      <c r="I13" s="226">
        <f>SUM(H13/G13)*100</f>
        <v>0</v>
      </c>
    </row>
    <row r="14" spans="2:9" x14ac:dyDescent="0.25">
      <c r="B14" s="664" t="s">
        <v>123</v>
      </c>
      <c r="C14" s="664"/>
      <c r="D14" s="11" t="s">
        <v>37</v>
      </c>
      <c r="E14" s="244">
        <v>32</v>
      </c>
      <c r="F14" s="46">
        <v>10</v>
      </c>
      <c r="G14" s="46">
        <v>0</v>
      </c>
      <c r="H14" s="46">
        <v>0</v>
      </c>
      <c r="I14" s="226"/>
    </row>
    <row r="15" spans="2:9" x14ac:dyDescent="0.25">
      <c r="B15" s="661" t="s">
        <v>9</v>
      </c>
      <c r="C15" s="662"/>
      <c r="D15" s="11" t="s">
        <v>26</v>
      </c>
      <c r="E15" s="244">
        <v>875.3</v>
      </c>
      <c r="F15" s="46">
        <v>323</v>
      </c>
      <c r="G15" s="46">
        <v>143</v>
      </c>
      <c r="H15" s="46">
        <v>84</v>
      </c>
      <c r="I15" s="226">
        <f t="shared" si="0"/>
        <v>58.74125874125874</v>
      </c>
    </row>
    <row r="16" spans="2:9" x14ac:dyDescent="0.25">
      <c r="B16" s="654" t="s">
        <v>10</v>
      </c>
      <c r="C16" s="654"/>
      <c r="D16" s="11" t="s">
        <v>38</v>
      </c>
      <c r="E16" s="244">
        <v>1303.6000000000001</v>
      </c>
      <c r="F16" s="46">
        <v>293</v>
      </c>
      <c r="G16" s="46">
        <v>182</v>
      </c>
      <c r="H16" s="46">
        <v>154</v>
      </c>
      <c r="I16" s="226">
        <f t="shared" si="0"/>
        <v>84.615384615384613</v>
      </c>
    </row>
    <row r="17" spans="2:9" x14ac:dyDescent="0.25">
      <c r="B17" s="665" t="s">
        <v>11</v>
      </c>
      <c r="C17" s="665"/>
      <c r="D17" s="376" t="s">
        <v>39</v>
      </c>
      <c r="E17" s="377">
        <v>7065.6999999999989</v>
      </c>
      <c r="F17" s="378">
        <v>998</v>
      </c>
      <c r="G17" s="378">
        <v>725</v>
      </c>
      <c r="H17" s="378">
        <v>658</v>
      </c>
      <c r="I17" s="226">
        <f t="shared" si="0"/>
        <v>90.758620689655174</v>
      </c>
    </row>
    <row r="18" spans="2:9" x14ac:dyDescent="0.25">
      <c r="B18" s="653" t="s">
        <v>12</v>
      </c>
      <c r="C18" s="653"/>
      <c r="D18" s="11" t="s">
        <v>40</v>
      </c>
      <c r="E18" s="244">
        <v>1848.1</v>
      </c>
      <c r="F18" s="46">
        <v>358</v>
      </c>
      <c r="G18" s="46">
        <v>132</v>
      </c>
      <c r="H18" s="46">
        <v>95</v>
      </c>
      <c r="I18" s="226">
        <f t="shared" si="0"/>
        <v>71.969696969696969</v>
      </c>
    </row>
    <row r="19" spans="2:9" x14ac:dyDescent="0.25">
      <c r="B19" s="654" t="s">
        <v>13</v>
      </c>
      <c r="C19" s="654"/>
      <c r="D19" s="11" t="s">
        <v>41</v>
      </c>
      <c r="E19" s="244">
        <v>2.2000000000000002</v>
      </c>
      <c r="F19" s="46">
        <v>1</v>
      </c>
      <c r="G19" s="46">
        <v>1</v>
      </c>
      <c r="H19" s="46">
        <v>1</v>
      </c>
      <c r="I19" s="226">
        <f t="shared" si="0"/>
        <v>100</v>
      </c>
    </row>
    <row r="20" spans="2:9" x14ac:dyDescent="0.25">
      <c r="B20" s="653" t="s">
        <v>14</v>
      </c>
      <c r="C20" s="653"/>
      <c r="D20" s="11" t="s">
        <v>42</v>
      </c>
      <c r="E20" s="244">
        <v>143.6</v>
      </c>
      <c r="F20" s="46">
        <v>37</v>
      </c>
      <c r="G20" s="46">
        <v>33</v>
      </c>
      <c r="H20" s="46">
        <v>13</v>
      </c>
      <c r="I20" s="226">
        <f t="shared" si="0"/>
        <v>39.393939393939391</v>
      </c>
    </row>
    <row r="21" spans="2:9" x14ac:dyDescent="0.25">
      <c r="B21" s="654" t="s">
        <v>15</v>
      </c>
      <c r="C21" s="654"/>
      <c r="D21" s="11" t="s">
        <v>43</v>
      </c>
      <c r="E21" s="244">
        <v>0</v>
      </c>
      <c r="F21" s="46">
        <v>0</v>
      </c>
      <c r="G21" s="46">
        <v>1</v>
      </c>
      <c r="H21" s="46">
        <v>1</v>
      </c>
      <c r="I21" s="226">
        <f t="shared" si="0"/>
        <v>100</v>
      </c>
    </row>
    <row r="22" spans="2:9" x14ac:dyDescent="0.25">
      <c r="B22" s="655" t="s">
        <v>16</v>
      </c>
      <c r="C22" s="655"/>
      <c r="D22" s="376" t="s">
        <v>44</v>
      </c>
      <c r="E22" s="377">
        <v>59863.100000000006</v>
      </c>
      <c r="F22" s="378">
        <v>2979</v>
      </c>
      <c r="G22" s="378">
        <v>2842</v>
      </c>
      <c r="H22" s="378">
        <v>2688</v>
      </c>
      <c r="I22" s="226">
        <f t="shared" si="0"/>
        <v>94.581280788177338</v>
      </c>
    </row>
    <row r="23" spans="2:9" ht="15.75" customHeight="1" x14ac:dyDescent="0.25">
      <c r="B23" s="12" t="s">
        <v>124</v>
      </c>
      <c r="C23" s="39" t="s">
        <v>125</v>
      </c>
      <c r="D23" s="11" t="s">
        <v>45</v>
      </c>
      <c r="E23" s="244">
        <v>0</v>
      </c>
      <c r="F23" s="46">
        <v>0</v>
      </c>
      <c r="G23" s="46">
        <v>1</v>
      </c>
      <c r="H23" s="46">
        <v>1</v>
      </c>
      <c r="I23" s="226">
        <f t="shared" si="0"/>
        <v>100</v>
      </c>
    </row>
    <row r="24" spans="2:9" x14ac:dyDescent="0.25">
      <c r="B24" s="656" t="s">
        <v>17</v>
      </c>
      <c r="C24" s="655"/>
      <c r="D24" s="376" t="s">
        <v>46</v>
      </c>
      <c r="E24" s="377">
        <v>48569.5</v>
      </c>
      <c r="F24" s="378">
        <v>2450</v>
      </c>
      <c r="G24" s="378">
        <v>2969</v>
      </c>
      <c r="H24" s="378">
        <v>2425</v>
      </c>
      <c r="I24" s="226">
        <f t="shared" si="0"/>
        <v>81.677332435163351</v>
      </c>
    </row>
    <row r="25" spans="2:9" x14ac:dyDescent="0.25">
      <c r="B25" s="661" t="s">
        <v>18</v>
      </c>
      <c r="C25" s="662"/>
      <c r="D25" s="11" t="s">
        <v>47</v>
      </c>
      <c r="E25" s="244">
        <v>605</v>
      </c>
      <c r="F25" s="46">
        <v>114</v>
      </c>
      <c r="G25" s="46">
        <v>144</v>
      </c>
      <c r="H25" s="46">
        <v>83</v>
      </c>
      <c r="I25" s="226">
        <f t="shared" si="0"/>
        <v>57.638888888888886</v>
      </c>
    </row>
    <row r="26" spans="2:9" x14ac:dyDescent="0.25">
      <c r="B26" s="657" t="s">
        <v>19</v>
      </c>
      <c r="C26" s="658"/>
      <c r="D26" s="11" t="s">
        <v>48</v>
      </c>
      <c r="E26" s="244">
        <v>44286.299999999988</v>
      </c>
      <c r="F26" s="46">
        <v>3981</v>
      </c>
      <c r="G26" s="46">
        <v>210</v>
      </c>
      <c r="H26" s="46">
        <v>191</v>
      </c>
      <c r="I26" s="226">
        <f t="shared" si="0"/>
        <v>90.952380952380949</v>
      </c>
    </row>
    <row r="27" spans="2:9" x14ac:dyDescent="0.25">
      <c r="B27" s="659" t="s">
        <v>20</v>
      </c>
      <c r="C27" s="654"/>
      <c r="D27" s="11">
        <v>24</v>
      </c>
      <c r="E27" s="244">
        <v>644986.80000000005</v>
      </c>
      <c r="F27" s="46">
        <v>86326</v>
      </c>
      <c r="G27" s="46">
        <v>61883</v>
      </c>
      <c r="H27" s="46">
        <v>48512</v>
      </c>
      <c r="I27" s="226">
        <f t="shared" si="0"/>
        <v>78.39309665013009</v>
      </c>
    </row>
    <row r="28" spans="2:9" x14ac:dyDescent="0.25">
      <c r="E28" s="245"/>
      <c r="F28" s="47"/>
      <c r="G28" s="47"/>
      <c r="H28" s="47"/>
    </row>
    <row r="29" spans="2:9" x14ac:dyDescent="0.25">
      <c r="B29" s="387" t="s">
        <v>304</v>
      </c>
      <c r="C29" s="379"/>
      <c r="D29" s="380"/>
      <c r="E29" s="381">
        <f>SUM(E5:E8,E22,E24)</f>
        <v>264833.30000000005</v>
      </c>
      <c r="F29" s="382">
        <f>SUM(F5:F8,F22,F24)</f>
        <v>35772</v>
      </c>
      <c r="G29" s="382">
        <f>SUM(G5:G8,G22,G24)</f>
        <v>28312</v>
      </c>
      <c r="H29" s="382">
        <f>SUM(H5:H8,H22,H24)</f>
        <v>22811</v>
      </c>
      <c r="I29" s="226">
        <f>SUM(H29/G29)*100</f>
        <v>80.570076292738051</v>
      </c>
    </row>
    <row r="30" spans="2:9" x14ac:dyDescent="0.25">
      <c r="B30" s="387" t="s">
        <v>304</v>
      </c>
      <c r="C30" s="379"/>
      <c r="D30" s="380"/>
      <c r="E30" s="381">
        <f>SUM(E29*1000)</f>
        <v>264833300.00000006</v>
      </c>
      <c r="F30" s="382">
        <f>SUM(F5:F8,F22,F24)</f>
        <v>35772</v>
      </c>
      <c r="G30" s="382">
        <f>SUM(G5:G8,G22,G24)</f>
        <v>28312</v>
      </c>
      <c r="H30" s="382">
        <f>SUM(H5:H8,H22,H24)</f>
        <v>22811</v>
      </c>
    </row>
    <row r="31" spans="2:9" x14ac:dyDescent="0.25">
      <c r="E31" s="245"/>
    </row>
    <row r="32" spans="2:9" x14ac:dyDescent="0.25">
      <c r="B32" s="387" t="s">
        <v>307</v>
      </c>
      <c r="C32" s="379"/>
      <c r="D32" s="380"/>
      <c r="E32" s="381">
        <f>SUM(E5:E8,E17,E22,E24)</f>
        <v>271899</v>
      </c>
      <c r="F32" s="382">
        <f>SUM(F5:F8,F17,F22,F24)</f>
        <v>36770</v>
      </c>
      <c r="G32" s="382">
        <f>SUM(G5:G8,G17,G22,G24)</f>
        <v>29037</v>
      </c>
      <c r="H32" s="382">
        <f>SUM(H5:H8,H17,H22,H24)</f>
        <v>23469</v>
      </c>
      <c r="I32" s="226">
        <f>SUM(H32/G32)*100</f>
        <v>80.824465337328235</v>
      </c>
    </row>
    <row r="33" spans="2:9" x14ac:dyDescent="0.25">
      <c r="B33" s="387"/>
      <c r="C33" s="379"/>
      <c r="D33" s="380"/>
      <c r="E33" s="381"/>
      <c r="F33" s="382"/>
      <c r="G33" s="382"/>
      <c r="H33" s="382"/>
      <c r="I33" s="8"/>
    </row>
  </sheetData>
  <mergeCells count="25">
    <mergeCell ref="B27:C27"/>
    <mergeCell ref="B20:C20"/>
    <mergeCell ref="B21:C21"/>
    <mergeCell ref="B22:C22"/>
    <mergeCell ref="B24:C24"/>
    <mergeCell ref="B25:C25"/>
    <mergeCell ref="B26:C26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B2:D2"/>
    <mergeCell ref="B3:D3"/>
    <mergeCell ref="B4:C4"/>
    <mergeCell ref="B5:C5"/>
    <mergeCell ref="B6:C6"/>
  </mergeCells>
  <pageMargins left="0.7" right="0.7" top="0.75" bottom="0.75" header="0.3" footer="0.3"/>
  <pageSetup paperSize="9" scale="8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5" tint="0.79998168889431442"/>
    <pageSetUpPr fitToPage="1"/>
  </sheetPr>
  <dimension ref="B1:J34"/>
  <sheetViews>
    <sheetView zoomScale="90" zoomScaleNormal="90" workbookViewId="0">
      <selection activeCell="B1" sqref="B1"/>
    </sheetView>
  </sheetViews>
  <sheetFormatPr defaultRowHeight="15" x14ac:dyDescent="0.25"/>
  <cols>
    <col min="1" max="1" width="3.28515625" style="8" customWidth="1"/>
    <col min="2" max="2" width="9.140625" style="8"/>
    <col min="3" max="3" width="55.5703125" style="8" customWidth="1"/>
    <col min="4" max="4" width="5.140625" style="8" customWidth="1"/>
    <col min="5" max="5" width="18" style="8" customWidth="1"/>
    <col min="6" max="6" width="21.85546875" style="8" customWidth="1"/>
    <col min="7" max="7" width="22.7109375" style="8" customWidth="1"/>
    <col min="8" max="8" width="19.5703125" style="8" customWidth="1"/>
    <col min="9" max="9" width="9.42578125" style="226" customWidth="1"/>
    <col min="10" max="10" width="7.140625" style="8" customWidth="1"/>
    <col min="11" max="16384" width="9.140625" style="8"/>
  </cols>
  <sheetData>
    <row r="1" spans="2:10" x14ac:dyDescent="0.25">
      <c r="B1" s="111" t="s">
        <v>333</v>
      </c>
      <c r="I1" s="228"/>
    </row>
    <row r="2" spans="2:10" ht="52.5" x14ac:dyDescent="0.25">
      <c r="B2" s="666" t="s">
        <v>21</v>
      </c>
      <c r="C2" s="666"/>
      <c r="D2" s="666"/>
      <c r="E2" s="374" t="s">
        <v>117</v>
      </c>
      <c r="F2" s="375" t="s">
        <v>118</v>
      </c>
      <c r="G2" s="375" t="s">
        <v>119</v>
      </c>
      <c r="H2" s="375" t="s">
        <v>120</v>
      </c>
      <c r="I2" s="228"/>
    </row>
    <row r="3" spans="2:10" x14ac:dyDescent="0.25">
      <c r="B3" s="666">
        <v>0</v>
      </c>
      <c r="C3" s="666"/>
      <c r="D3" s="666"/>
      <c r="E3" s="374">
        <v>1</v>
      </c>
      <c r="F3" s="375">
        <v>2</v>
      </c>
      <c r="G3" s="375">
        <v>3</v>
      </c>
      <c r="H3" s="375">
        <v>4</v>
      </c>
      <c r="I3" s="228"/>
    </row>
    <row r="4" spans="2:10" x14ac:dyDescent="0.25">
      <c r="B4" s="661" t="s">
        <v>0</v>
      </c>
      <c r="C4" s="662"/>
      <c r="D4" s="11" t="s">
        <v>27</v>
      </c>
      <c r="E4" s="244">
        <v>287736.90000000002</v>
      </c>
      <c r="F4" s="46">
        <v>39396</v>
      </c>
      <c r="G4" s="46">
        <v>28472</v>
      </c>
      <c r="H4" s="46">
        <v>20506</v>
      </c>
      <c r="I4" s="228"/>
    </row>
    <row r="5" spans="2:10" x14ac:dyDescent="0.25">
      <c r="B5" s="656" t="s">
        <v>121</v>
      </c>
      <c r="C5" s="655"/>
      <c r="D5" s="376" t="s">
        <v>28</v>
      </c>
      <c r="E5" s="377">
        <v>103599.30000000002</v>
      </c>
      <c r="F5" s="378">
        <v>18425</v>
      </c>
      <c r="G5" s="378">
        <v>12626</v>
      </c>
      <c r="H5" s="378">
        <v>9873</v>
      </c>
      <c r="I5" s="226">
        <f t="shared" ref="I5:I25" si="0">SUM(H5/G5)*100</f>
        <v>78.195786472358634</v>
      </c>
    </row>
    <row r="6" spans="2:10" x14ac:dyDescent="0.25">
      <c r="B6" s="667" t="s">
        <v>2</v>
      </c>
      <c r="C6" s="665"/>
      <c r="D6" s="376" t="s">
        <v>29</v>
      </c>
      <c r="E6" s="377">
        <v>12009.699999999997</v>
      </c>
      <c r="F6" s="378">
        <v>4526</v>
      </c>
      <c r="G6" s="378">
        <v>4298</v>
      </c>
      <c r="H6" s="378">
        <v>1780</v>
      </c>
      <c r="I6" s="226">
        <f t="shared" si="0"/>
        <v>41.414611447184733</v>
      </c>
      <c r="J6" s="228"/>
    </row>
    <row r="7" spans="2:10" x14ac:dyDescent="0.25">
      <c r="B7" s="665" t="s">
        <v>3</v>
      </c>
      <c r="C7" s="665"/>
      <c r="D7" s="376" t="s">
        <v>30</v>
      </c>
      <c r="E7" s="377">
        <v>23417.200000000001</v>
      </c>
      <c r="F7" s="378">
        <v>5321</v>
      </c>
      <c r="G7" s="378">
        <v>2570</v>
      </c>
      <c r="H7" s="378">
        <v>2264</v>
      </c>
      <c r="I7" s="226">
        <f t="shared" si="0"/>
        <v>88.093385214007782</v>
      </c>
    </row>
    <row r="8" spans="2:10" x14ac:dyDescent="0.25">
      <c r="B8" s="660" t="s">
        <v>4</v>
      </c>
      <c r="C8" s="660"/>
      <c r="D8" s="376" t="s">
        <v>31</v>
      </c>
      <c r="E8" s="377">
        <v>20169.5</v>
      </c>
      <c r="F8" s="378">
        <v>2335</v>
      </c>
      <c r="G8" s="378">
        <v>2030</v>
      </c>
      <c r="H8" s="378">
        <v>1606</v>
      </c>
      <c r="I8" s="226">
        <f t="shared" si="0"/>
        <v>79.113300492610833</v>
      </c>
    </row>
    <row r="9" spans="2:10" x14ac:dyDescent="0.25">
      <c r="B9" s="661" t="s">
        <v>5</v>
      </c>
      <c r="C9" s="662"/>
      <c r="D9" s="11" t="s">
        <v>32</v>
      </c>
      <c r="E9" s="244">
        <v>1220.8</v>
      </c>
      <c r="F9" s="46">
        <v>1132</v>
      </c>
      <c r="G9" s="46">
        <v>955</v>
      </c>
      <c r="H9" s="46">
        <v>134</v>
      </c>
      <c r="I9" s="226">
        <f t="shared" si="0"/>
        <v>14.031413612565444</v>
      </c>
    </row>
    <row r="10" spans="2:10" x14ac:dyDescent="0.25">
      <c r="B10" s="663" t="s">
        <v>122</v>
      </c>
      <c r="C10" s="663"/>
      <c r="D10" s="11" t="s">
        <v>33</v>
      </c>
      <c r="E10" s="244">
        <v>105.4</v>
      </c>
      <c r="F10" s="46">
        <v>162</v>
      </c>
      <c r="G10" s="46">
        <v>149</v>
      </c>
      <c r="H10" s="46">
        <v>10</v>
      </c>
      <c r="I10" s="226">
        <f t="shared" si="0"/>
        <v>6.7114093959731544</v>
      </c>
    </row>
    <row r="11" spans="2:10" x14ac:dyDescent="0.25">
      <c r="B11" s="662" t="s">
        <v>6</v>
      </c>
      <c r="C11" s="662"/>
      <c r="D11" s="11" t="s">
        <v>34</v>
      </c>
      <c r="E11" s="244">
        <v>158.99999999999997</v>
      </c>
      <c r="F11" s="46">
        <v>47</v>
      </c>
      <c r="G11" s="46">
        <v>15</v>
      </c>
      <c r="H11" s="46">
        <v>13</v>
      </c>
      <c r="I11" s="226">
        <f t="shared" si="0"/>
        <v>86.666666666666671</v>
      </c>
    </row>
    <row r="12" spans="2:10" x14ac:dyDescent="0.25">
      <c r="B12" s="662" t="s">
        <v>7</v>
      </c>
      <c r="C12" s="662"/>
      <c r="D12" s="11" t="s">
        <v>35</v>
      </c>
      <c r="E12" s="244">
        <v>136.5</v>
      </c>
      <c r="F12" s="46">
        <v>15</v>
      </c>
      <c r="G12" s="46">
        <v>6</v>
      </c>
      <c r="H12" s="46">
        <v>3</v>
      </c>
      <c r="I12" s="226">
        <f t="shared" si="0"/>
        <v>50</v>
      </c>
    </row>
    <row r="13" spans="2:10" x14ac:dyDescent="0.25">
      <c r="B13" s="654" t="s">
        <v>8</v>
      </c>
      <c r="C13" s="654"/>
      <c r="D13" s="11" t="s">
        <v>36</v>
      </c>
      <c r="E13" s="244">
        <v>65.5</v>
      </c>
      <c r="F13" s="46">
        <v>13</v>
      </c>
      <c r="G13" s="46">
        <v>10</v>
      </c>
      <c r="H13" s="46">
        <v>3</v>
      </c>
      <c r="I13" s="226">
        <f t="shared" si="0"/>
        <v>30</v>
      </c>
    </row>
    <row r="14" spans="2:10" x14ac:dyDescent="0.25">
      <c r="B14" s="664" t="s">
        <v>123</v>
      </c>
      <c r="C14" s="664"/>
      <c r="D14" s="11" t="s">
        <v>37</v>
      </c>
      <c r="E14" s="244">
        <v>0</v>
      </c>
      <c r="F14" s="46">
        <v>0</v>
      </c>
      <c r="G14" s="46">
        <v>0</v>
      </c>
      <c r="H14" s="46">
        <v>0</v>
      </c>
    </row>
    <row r="15" spans="2:10" x14ac:dyDescent="0.25">
      <c r="B15" s="661" t="s">
        <v>9</v>
      </c>
      <c r="C15" s="662"/>
      <c r="D15" s="11" t="s">
        <v>26</v>
      </c>
      <c r="E15" s="244">
        <v>931.10000000000014</v>
      </c>
      <c r="F15" s="46">
        <v>248</v>
      </c>
      <c r="G15" s="46">
        <v>118</v>
      </c>
      <c r="H15" s="46">
        <v>69</v>
      </c>
      <c r="I15" s="226">
        <f t="shared" si="0"/>
        <v>58.474576271186443</v>
      </c>
    </row>
    <row r="16" spans="2:10" x14ac:dyDescent="0.25">
      <c r="B16" s="654" t="s">
        <v>10</v>
      </c>
      <c r="C16" s="654"/>
      <c r="D16" s="11" t="s">
        <v>38</v>
      </c>
      <c r="E16" s="244">
        <v>1722.5999999999997</v>
      </c>
      <c r="F16" s="46">
        <v>297</v>
      </c>
      <c r="G16" s="46">
        <v>15</v>
      </c>
      <c r="H16" s="46">
        <v>9</v>
      </c>
      <c r="I16" s="226">
        <f t="shared" si="0"/>
        <v>60</v>
      </c>
    </row>
    <row r="17" spans="2:9" x14ac:dyDescent="0.25">
      <c r="B17" s="665" t="s">
        <v>11</v>
      </c>
      <c r="C17" s="665"/>
      <c r="D17" s="376" t="s">
        <v>39</v>
      </c>
      <c r="E17" s="377">
        <v>4052.3999999999996</v>
      </c>
      <c r="F17" s="378">
        <v>601</v>
      </c>
      <c r="G17" s="378">
        <v>269</v>
      </c>
      <c r="H17" s="378">
        <v>249</v>
      </c>
      <c r="I17" s="226">
        <f t="shared" si="0"/>
        <v>92.565055762081784</v>
      </c>
    </row>
    <row r="18" spans="2:9" x14ac:dyDescent="0.25">
      <c r="B18" s="653" t="s">
        <v>12</v>
      </c>
      <c r="C18" s="653"/>
      <c r="D18" s="11" t="s">
        <v>40</v>
      </c>
      <c r="E18" s="244">
        <v>888.9</v>
      </c>
      <c r="F18" s="46">
        <v>176</v>
      </c>
      <c r="G18" s="46">
        <v>1</v>
      </c>
      <c r="H18" s="46">
        <v>5</v>
      </c>
      <c r="I18" s="226">
        <f t="shared" si="0"/>
        <v>500</v>
      </c>
    </row>
    <row r="19" spans="2:9" x14ac:dyDescent="0.25">
      <c r="B19" s="654" t="s">
        <v>13</v>
      </c>
      <c r="C19" s="654"/>
      <c r="D19" s="11" t="s">
        <v>41</v>
      </c>
      <c r="E19" s="244">
        <v>8.3000000000000007</v>
      </c>
      <c r="F19" s="46">
        <v>1</v>
      </c>
      <c r="G19" s="46">
        <v>0</v>
      </c>
      <c r="H19" s="46">
        <v>0</v>
      </c>
    </row>
    <row r="20" spans="2:9" x14ac:dyDescent="0.25">
      <c r="B20" s="653" t="s">
        <v>14</v>
      </c>
      <c r="C20" s="653"/>
      <c r="D20" s="11" t="s">
        <v>42</v>
      </c>
      <c r="E20" s="244">
        <v>188.00000000000003</v>
      </c>
      <c r="F20" s="46">
        <v>45</v>
      </c>
      <c r="G20" s="46">
        <v>7</v>
      </c>
      <c r="H20" s="46">
        <v>4</v>
      </c>
      <c r="I20" s="226">
        <f t="shared" si="0"/>
        <v>57.142857142857139</v>
      </c>
    </row>
    <row r="21" spans="2:9" x14ac:dyDescent="0.25">
      <c r="B21" s="654" t="s">
        <v>15</v>
      </c>
      <c r="C21" s="654"/>
      <c r="D21" s="11" t="s">
        <v>43</v>
      </c>
      <c r="E21" s="244">
        <v>10.5</v>
      </c>
      <c r="F21" s="46">
        <v>1</v>
      </c>
      <c r="G21" s="46">
        <v>0</v>
      </c>
      <c r="H21" s="46">
        <v>0</v>
      </c>
    </row>
    <row r="22" spans="2:9" x14ac:dyDescent="0.25">
      <c r="B22" s="655" t="s">
        <v>16</v>
      </c>
      <c r="C22" s="655"/>
      <c r="D22" s="376" t="s">
        <v>44</v>
      </c>
      <c r="E22" s="377">
        <v>57420.700000000004</v>
      </c>
      <c r="F22" s="378">
        <v>2864</v>
      </c>
      <c r="G22" s="378">
        <v>3016</v>
      </c>
      <c r="H22" s="378">
        <v>2721</v>
      </c>
      <c r="I22" s="226">
        <f t="shared" si="0"/>
        <v>90.218832891246677</v>
      </c>
    </row>
    <row r="23" spans="2:9" ht="15.75" customHeight="1" x14ac:dyDescent="0.25">
      <c r="B23" s="12" t="s">
        <v>124</v>
      </c>
      <c r="C23" s="39" t="s">
        <v>125</v>
      </c>
      <c r="D23" s="11" t="s">
        <v>45</v>
      </c>
      <c r="E23" s="244">
        <v>86.8</v>
      </c>
      <c r="F23" s="46">
        <v>7</v>
      </c>
      <c r="G23" s="46">
        <v>14</v>
      </c>
      <c r="H23" s="46">
        <v>8</v>
      </c>
      <c r="I23" s="226">
        <f t="shared" si="0"/>
        <v>57.142857142857139</v>
      </c>
    </row>
    <row r="24" spans="2:9" x14ac:dyDescent="0.25">
      <c r="B24" s="656" t="s">
        <v>17</v>
      </c>
      <c r="C24" s="655"/>
      <c r="D24" s="376" t="s">
        <v>46</v>
      </c>
      <c r="E24" s="377">
        <v>61631.500000000007</v>
      </c>
      <c r="F24" s="378">
        <v>3187</v>
      </c>
      <c r="G24" s="378">
        <v>2387</v>
      </c>
      <c r="H24" s="378">
        <v>1763</v>
      </c>
      <c r="I24" s="226">
        <f t="shared" si="0"/>
        <v>73.858399664851277</v>
      </c>
    </row>
    <row r="25" spans="2:9" x14ac:dyDescent="0.25">
      <c r="B25" s="661" t="s">
        <v>18</v>
      </c>
      <c r="C25" s="662"/>
      <c r="D25" s="11" t="s">
        <v>47</v>
      </c>
      <c r="E25" s="244">
        <v>575560.6</v>
      </c>
      <c r="F25" s="46">
        <v>78799</v>
      </c>
      <c r="G25" s="46">
        <v>56958</v>
      </c>
      <c r="H25" s="46">
        <v>41020</v>
      </c>
      <c r="I25" s="226">
        <f t="shared" si="0"/>
        <v>72.017978159345489</v>
      </c>
    </row>
    <row r="26" spans="2:9" x14ac:dyDescent="0.25">
      <c r="B26" s="657" t="s">
        <v>19</v>
      </c>
      <c r="C26" s="658"/>
      <c r="D26" s="11" t="s">
        <v>48</v>
      </c>
      <c r="E26" s="244">
        <v>46280</v>
      </c>
      <c r="F26" s="46"/>
      <c r="G26" s="46"/>
      <c r="H26" s="46"/>
    </row>
    <row r="27" spans="2:9" x14ac:dyDescent="0.25">
      <c r="B27" s="659" t="s">
        <v>20</v>
      </c>
      <c r="C27" s="654"/>
      <c r="D27" s="11">
        <v>24</v>
      </c>
      <c r="E27" s="244">
        <v>2195</v>
      </c>
      <c r="F27" s="46"/>
      <c r="G27" s="46"/>
      <c r="H27" s="46"/>
      <c r="I27" s="280">
        <v>13907.5273654221</v>
      </c>
    </row>
    <row r="28" spans="2:9" x14ac:dyDescent="0.25">
      <c r="E28" s="245"/>
      <c r="F28" s="47"/>
      <c r="G28" s="47"/>
      <c r="H28" s="47"/>
    </row>
    <row r="29" spans="2:9" x14ac:dyDescent="0.25">
      <c r="B29" s="387" t="s">
        <v>304</v>
      </c>
      <c r="C29" s="379"/>
      <c r="D29" s="380"/>
      <c r="E29" s="381">
        <f>SUM(E5:E8,E22,E24)</f>
        <v>278247.90000000002</v>
      </c>
      <c r="F29" s="382">
        <f>SUM(F5:F8,F22,F24)</f>
        <v>36658</v>
      </c>
      <c r="G29" s="382">
        <f>SUM(G5:G8,G22,G24)</f>
        <v>26927</v>
      </c>
      <c r="H29" s="382">
        <f>SUM(H5:H8,H22,H24)</f>
        <v>20007</v>
      </c>
      <c r="I29" s="226">
        <f>SUM(H29)/G29*100</f>
        <v>74.300887584951909</v>
      </c>
    </row>
    <row r="30" spans="2:9" x14ac:dyDescent="0.25">
      <c r="B30" s="387" t="s">
        <v>304</v>
      </c>
      <c r="C30" s="379"/>
      <c r="D30" s="380"/>
      <c r="E30" s="381">
        <f>SUM(E29*1000)</f>
        <v>278247900</v>
      </c>
      <c r="F30" s="382">
        <f>SUM(F5:F8,F22,F24)</f>
        <v>36658</v>
      </c>
      <c r="G30" s="382">
        <f>SUM(G5:G8,G22,G24)</f>
        <v>26927</v>
      </c>
      <c r="H30" s="382">
        <f>SUM(H5:H8,H22,H24)</f>
        <v>20007</v>
      </c>
    </row>
    <row r="31" spans="2:9" x14ac:dyDescent="0.25">
      <c r="E31" s="245"/>
    </row>
    <row r="32" spans="2:9" x14ac:dyDescent="0.25">
      <c r="B32" s="387" t="s">
        <v>307</v>
      </c>
      <c r="C32" s="379"/>
      <c r="D32" s="380"/>
      <c r="E32" s="381">
        <f>SUM(E5:E8,E17,E22,E24)</f>
        <v>282300.30000000005</v>
      </c>
      <c r="F32" s="382">
        <f>SUM(F5:F8,F17,F22,F24)</f>
        <v>37259</v>
      </c>
      <c r="G32" s="382">
        <f>SUM(G5:G8,G17,G22,G24)</f>
        <v>27196</v>
      </c>
      <c r="H32" s="382">
        <f>SUM(H5:H8,H17,H22,H24)</f>
        <v>20256</v>
      </c>
      <c r="I32" s="226">
        <f>SUM(H32)/G32*100</f>
        <v>74.481541403147517</v>
      </c>
    </row>
    <row r="33" spans="2:9" x14ac:dyDescent="0.25">
      <c r="B33" s="387"/>
      <c r="C33" s="379"/>
      <c r="D33" s="380"/>
      <c r="E33" s="381"/>
      <c r="F33" s="382"/>
      <c r="G33" s="382"/>
      <c r="H33" s="382"/>
      <c r="I33" s="228"/>
    </row>
    <row r="34" spans="2:9" x14ac:dyDescent="0.25">
      <c r="E34" s="48"/>
      <c r="F34" s="48"/>
      <c r="G34" s="48"/>
      <c r="H34" s="48"/>
      <c r="I34" s="228"/>
    </row>
  </sheetData>
  <mergeCells count="25">
    <mergeCell ref="B27:C27"/>
    <mergeCell ref="B20:C20"/>
    <mergeCell ref="B21:C21"/>
    <mergeCell ref="B22:C22"/>
    <mergeCell ref="B24:C24"/>
    <mergeCell ref="B25:C25"/>
    <mergeCell ref="B26:C26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B2:D2"/>
    <mergeCell ref="B3:D3"/>
    <mergeCell ref="B4:C4"/>
    <mergeCell ref="B5:C5"/>
    <mergeCell ref="B6:C6"/>
  </mergeCells>
  <pageMargins left="0.7" right="0.7" top="0.75" bottom="0.75" header="0.3" footer="0.3"/>
  <pageSetup paperSize="9" scale="7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Arkusz24">
    <tabColor rgb="FFFF9900"/>
    <pageSetUpPr fitToPage="1"/>
  </sheetPr>
  <dimension ref="A1:AK80"/>
  <sheetViews>
    <sheetView zoomScale="60" zoomScaleNormal="60" workbookViewId="0">
      <selection activeCell="B1" sqref="B1"/>
    </sheetView>
  </sheetViews>
  <sheetFormatPr defaultRowHeight="15" x14ac:dyDescent="0.25"/>
  <cols>
    <col min="1" max="1" width="4.42578125" style="10" customWidth="1"/>
    <col min="2" max="2" width="9.42578125" style="15" customWidth="1"/>
    <col min="3" max="3" width="16.28515625" style="15" customWidth="1"/>
    <col min="4" max="4" width="16.42578125" style="15" customWidth="1"/>
    <col min="5" max="5" width="16.28515625" style="15" customWidth="1"/>
    <col min="6" max="6" width="16.5703125" style="15" customWidth="1"/>
    <col min="7" max="7" width="15.85546875" style="15" customWidth="1"/>
    <col min="8" max="8" width="16.140625" style="15" customWidth="1"/>
    <col min="9" max="9" width="14" style="15" customWidth="1"/>
    <col min="10" max="10" width="4.140625" style="10" customWidth="1"/>
    <col min="11" max="11" width="12.28515625" style="15" customWidth="1"/>
    <col min="12" max="12" width="13.140625" style="15" customWidth="1"/>
    <col min="13" max="13" width="13" style="15" customWidth="1"/>
    <col min="14" max="14" width="12.85546875" style="15" customWidth="1"/>
    <col min="15" max="15" width="14" style="15" customWidth="1"/>
    <col min="16" max="16" width="13.85546875" style="15" customWidth="1"/>
    <col min="17" max="17" width="13.28515625" style="15" customWidth="1"/>
    <col min="18" max="18" width="12.5703125" style="15" customWidth="1"/>
    <col min="19" max="19" width="2.42578125" style="15" customWidth="1"/>
    <col min="20" max="20" width="8.85546875" style="15" customWidth="1"/>
    <col min="21" max="22" width="8.42578125" style="15" customWidth="1"/>
    <col min="23" max="23" width="9.140625" style="15" customWidth="1"/>
    <col min="24" max="24" width="10.7109375" style="15" customWidth="1"/>
    <col min="25" max="25" width="11.140625" style="15" customWidth="1"/>
    <col min="26" max="26" width="12.140625" style="15" customWidth="1"/>
    <col min="27" max="27" width="12.7109375" style="15" customWidth="1"/>
    <col min="28" max="28" width="3.28515625" style="15" customWidth="1"/>
    <col min="29" max="29" width="8.140625" style="10" customWidth="1"/>
    <col min="30" max="30" width="18" style="15" customWidth="1"/>
    <col min="31" max="32" width="16.28515625" style="15" customWidth="1"/>
    <col min="33" max="33" width="15.140625" style="15" customWidth="1"/>
    <col min="34" max="34" width="15" style="15" customWidth="1"/>
    <col min="35" max="35" width="14.42578125" style="15" customWidth="1"/>
    <col min="36" max="36" width="14.5703125" style="15" customWidth="1"/>
    <col min="37" max="16384" width="9.140625" style="15"/>
  </cols>
  <sheetData>
    <row r="1" spans="1:36" x14ac:dyDescent="0.25">
      <c r="B1" s="15" t="s">
        <v>394</v>
      </c>
      <c r="K1" s="15" t="s">
        <v>396</v>
      </c>
      <c r="T1" s="14" t="s">
        <v>302</v>
      </c>
      <c r="AC1" s="15" t="s">
        <v>386</v>
      </c>
    </row>
    <row r="2" spans="1:36" x14ac:dyDescent="0.25">
      <c r="B2" s="348">
        <v>2021</v>
      </c>
      <c r="C2" s="348" t="s">
        <v>136</v>
      </c>
      <c r="D2" s="348" t="s">
        <v>135</v>
      </c>
      <c r="E2" s="348" t="s">
        <v>138</v>
      </c>
      <c r="F2" s="348" t="s">
        <v>139</v>
      </c>
      <c r="G2" s="348" t="s">
        <v>141</v>
      </c>
      <c r="H2" s="348" t="s">
        <v>140</v>
      </c>
      <c r="I2" s="348" t="s">
        <v>297</v>
      </c>
      <c r="K2" s="388">
        <v>2021</v>
      </c>
      <c r="L2" s="348" t="s">
        <v>136</v>
      </c>
      <c r="M2" s="348" t="s">
        <v>135</v>
      </c>
      <c r="N2" s="348" t="s">
        <v>138</v>
      </c>
      <c r="O2" s="348" t="s">
        <v>139</v>
      </c>
      <c r="P2" s="348" t="s">
        <v>141</v>
      </c>
      <c r="Q2" s="348" t="s">
        <v>140</v>
      </c>
      <c r="R2" s="348" t="s">
        <v>297</v>
      </c>
      <c r="T2" s="348">
        <v>2021</v>
      </c>
      <c r="U2" s="348" t="s">
        <v>136</v>
      </c>
      <c r="V2" s="348" t="s">
        <v>135</v>
      </c>
      <c r="W2" s="348" t="s">
        <v>138</v>
      </c>
      <c r="X2" s="348" t="s">
        <v>139</v>
      </c>
      <c r="Y2" s="348" t="s">
        <v>141</v>
      </c>
      <c r="Z2" s="348" t="s">
        <v>140</v>
      </c>
      <c r="AA2" s="348" t="s">
        <v>297</v>
      </c>
      <c r="AC2" s="348">
        <v>2021</v>
      </c>
      <c r="AD2" s="348" t="s">
        <v>136</v>
      </c>
      <c r="AE2" s="348" t="s">
        <v>135</v>
      </c>
      <c r="AF2" s="348" t="s">
        <v>138</v>
      </c>
      <c r="AG2" s="348" t="s">
        <v>139</v>
      </c>
      <c r="AH2" s="348" t="s">
        <v>141</v>
      </c>
      <c r="AI2" s="348" t="s">
        <v>140</v>
      </c>
      <c r="AJ2" s="348" t="s">
        <v>297</v>
      </c>
    </row>
    <row r="3" spans="1:36" x14ac:dyDescent="0.25">
      <c r="A3" s="10">
        <v>1</v>
      </c>
      <c r="B3" s="16">
        <v>1801</v>
      </c>
      <c r="C3" s="16">
        <f>SUM('01'!F3)</f>
        <v>220</v>
      </c>
      <c r="D3" s="16">
        <f>SUM('01'!F4)</f>
        <v>11</v>
      </c>
      <c r="E3" s="16">
        <f>SUM('01'!F5)</f>
        <v>119</v>
      </c>
      <c r="F3" s="16">
        <f>SUM('01'!F6)</f>
        <v>12</v>
      </c>
      <c r="G3" s="16">
        <f>SUM('01'!F20)</f>
        <v>55</v>
      </c>
      <c r="H3" s="16">
        <f>SUM('01'!F22)</f>
        <v>25</v>
      </c>
      <c r="I3" s="16">
        <f>SUM('01'!F15)</f>
        <v>66</v>
      </c>
      <c r="K3" s="16">
        <v>1801</v>
      </c>
      <c r="L3" s="16">
        <f>SUM('01'!G3)</f>
        <v>161</v>
      </c>
      <c r="M3" s="16">
        <f>SUM('01'!G4)</f>
        <v>10</v>
      </c>
      <c r="N3" s="16">
        <f>SUM('01'!G5)</f>
        <v>103</v>
      </c>
      <c r="O3" s="16">
        <f>SUM('01'!G6)</f>
        <v>7</v>
      </c>
      <c r="P3" s="16">
        <f>SUM('01'!G20)</f>
        <v>58</v>
      </c>
      <c r="Q3" s="16">
        <f>SUM('01'!G22)</f>
        <v>8</v>
      </c>
      <c r="R3" s="16">
        <f>SUM('01'!G15)</f>
        <v>39</v>
      </c>
      <c r="T3" s="16">
        <v>1801</v>
      </c>
      <c r="U3" s="16">
        <f>SUM('01'!H3)</f>
        <v>138</v>
      </c>
      <c r="V3" s="16">
        <f>SUM('01'!H4)</f>
        <v>4</v>
      </c>
      <c r="W3" s="16">
        <f>SUM('01'!H5)</f>
        <v>100</v>
      </c>
      <c r="X3" s="16">
        <f>SUM('01'!H6)</f>
        <v>7</v>
      </c>
      <c r="Y3" s="16">
        <f>SUM('01'!H20)</f>
        <v>55</v>
      </c>
      <c r="Z3" s="16">
        <f>SUM('01'!H22)</f>
        <v>7</v>
      </c>
      <c r="AA3" s="16">
        <f>SUM('01'!H15)</f>
        <v>34</v>
      </c>
      <c r="AC3" s="16">
        <v>1801</v>
      </c>
      <c r="AD3" s="61">
        <f t="shared" ref="AD3:AJ9" si="0">SUM(C27)*1000</f>
        <v>1888070.45</v>
      </c>
      <c r="AE3" s="61">
        <f t="shared" si="0"/>
        <v>45377.86</v>
      </c>
      <c r="AF3" s="61">
        <f t="shared" si="0"/>
        <v>661414.98</v>
      </c>
      <c r="AG3" s="61">
        <f t="shared" si="0"/>
        <v>136683.17000000001</v>
      </c>
      <c r="AH3" s="61">
        <f t="shared" si="0"/>
        <v>1649986.07</v>
      </c>
      <c r="AI3" s="61">
        <f t="shared" si="0"/>
        <v>750000</v>
      </c>
      <c r="AJ3" s="61">
        <f t="shared" si="0"/>
        <v>623500.49</v>
      </c>
    </row>
    <row r="4" spans="1:36" x14ac:dyDescent="0.25">
      <c r="A4" s="10">
        <v>2</v>
      </c>
      <c r="B4" s="16">
        <v>1802</v>
      </c>
      <c r="C4" s="16">
        <f>SUM('02'!F3)</f>
        <v>494</v>
      </c>
      <c r="D4" s="16">
        <f>SUM('02'!F4)</f>
        <v>29</v>
      </c>
      <c r="E4" s="16">
        <f>SUM('02'!F5)</f>
        <v>194</v>
      </c>
      <c r="F4" s="16">
        <f>SUM('02'!F6)</f>
        <v>70</v>
      </c>
      <c r="G4" s="16">
        <f>SUM('02'!F20)</f>
        <v>130</v>
      </c>
      <c r="H4" s="16">
        <f>SUM('02'!F22)</f>
        <v>87</v>
      </c>
      <c r="I4" s="16">
        <f>SUM('02'!F15)</f>
        <v>58</v>
      </c>
      <c r="K4" s="16">
        <v>1802</v>
      </c>
      <c r="L4" s="16">
        <f>SUM('02'!G3)</f>
        <v>299</v>
      </c>
      <c r="M4" s="16">
        <f>SUM('02'!G4)</f>
        <v>27</v>
      </c>
      <c r="N4" s="16">
        <f>SUM('02'!G5)</f>
        <v>168</v>
      </c>
      <c r="O4" s="16">
        <f>SUM('02'!G6)</f>
        <v>62</v>
      </c>
      <c r="P4" s="16">
        <f>SUM('02'!G20)</f>
        <v>110</v>
      </c>
      <c r="Q4" s="16">
        <f>SUM('02'!G22)</f>
        <v>72</v>
      </c>
      <c r="R4" s="16">
        <f>SUM('02'!G15)</f>
        <v>38</v>
      </c>
      <c r="T4" s="16">
        <v>1802</v>
      </c>
      <c r="U4" s="16">
        <f>SUM('02'!H3)</f>
        <v>256</v>
      </c>
      <c r="V4" s="16">
        <f>SUM('02'!H4)</f>
        <v>16</v>
      </c>
      <c r="W4" s="16">
        <f>SUM('02'!H5)</f>
        <v>162</v>
      </c>
      <c r="X4" s="16">
        <f>SUM('02'!H6)</f>
        <v>59</v>
      </c>
      <c r="Y4" s="16">
        <f>SUM('02'!H20)</f>
        <v>109</v>
      </c>
      <c r="Z4" s="16">
        <f>SUM('02'!H22)</f>
        <v>72</v>
      </c>
      <c r="AA4" s="16">
        <f>SUM('02'!H15)</f>
        <v>35</v>
      </c>
      <c r="AC4" s="16">
        <v>1802</v>
      </c>
      <c r="AD4" s="61">
        <f t="shared" si="0"/>
        <v>4022886.72</v>
      </c>
      <c r="AE4" s="61">
        <f t="shared" si="0"/>
        <v>137533.68</v>
      </c>
      <c r="AF4" s="61">
        <f t="shared" si="0"/>
        <v>982822.37</v>
      </c>
      <c r="AG4" s="61">
        <f t="shared" si="0"/>
        <v>1144459.79</v>
      </c>
      <c r="AH4" s="61">
        <f t="shared" si="0"/>
        <v>3426736.78</v>
      </c>
      <c r="AI4" s="61">
        <f t="shared" si="0"/>
        <v>2716316.67</v>
      </c>
      <c r="AJ4" s="61">
        <f t="shared" si="0"/>
        <v>603000</v>
      </c>
    </row>
    <row r="5" spans="1:36" x14ac:dyDescent="0.25">
      <c r="A5" s="10">
        <v>3</v>
      </c>
      <c r="B5" s="16">
        <v>1803</v>
      </c>
      <c r="C5" s="16">
        <f>SUM('03'!F3)</f>
        <v>380</v>
      </c>
      <c r="D5" s="16">
        <f>SUM('03'!F4)</f>
        <v>20</v>
      </c>
      <c r="E5" s="16">
        <f>SUM('03'!F5)</f>
        <v>366</v>
      </c>
      <c r="F5" s="16">
        <f>SUM('03'!F6)</f>
        <v>13</v>
      </c>
      <c r="G5" s="16">
        <f>SUM('03'!F20)</f>
        <v>118</v>
      </c>
      <c r="H5" s="16">
        <f>SUM('03'!F22)</f>
        <v>115</v>
      </c>
      <c r="I5" s="16">
        <f>SUM('03'!F15)</f>
        <v>47</v>
      </c>
      <c r="K5" s="16">
        <v>1803</v>
      </c>
      <c r="L5" s="16">
        <f>SUM('03'!G3)</f>
        <v>252</v>
      </c>
      <c r="M5" s="16">
        <f>SUM('03'!G4)</f>
        <v>19</v>
      </c>
      <c r="N5" s="16">
        <f>SUM('03'!G5)</f>
        <v>240</v>
      </c>
      <c r="O5" s="16">
        <f>SUM('03'!G6)</f>
        <v>12</v>
      </c>
      <c r="P5" s="16">
        <f>SUM('03'!G20)</f>
        <v>115</v>
      </c>
      <c r="Q5" s="16">
        <f>SUM('03'!G22)</f>
        <v>71</v>
      </c>
      <c r="R5" s="16">
        <f>SUM('03'!G15)</f>
        <v>35</v>
      </c>
      <c r="T5" s="16">
        <v>1803</v>
      </c>
      <c r="U5" s="16">
        <f>SUM('03'!H3)</f>
        <v>199</v>
      </c>
      <c r="V5" s="16">
        <f>SUM('03'!H4)</f>
        <v>10</v>
      </c>
      <c r="W5" s="16">
        <f>SUM('03'!H5)</f>
        <v>237</v>
      </c>
      <c r="X5" s="16">
        <f>SUM('03'!H6)</f>
        <v>9</v>
      </c>
      <c r="Y5" s="16">
        <f>SUM('03'!H20)</f>
        <v>115</v>
      </c>
      <c r="Z5" s="16">
        <f>SUM('03'!H22)</f>
        <v>69</v>
      </c>
      <c r="AA5" s="16">
        <f>SUM('03'!H15)</f>
        <v>32</v>
      </c>
      <c r="AC5" s="16">
        <v>1803</v>
      </c>
      <c r="AD5" s="61">
        <f t="shared" si="0"/>
        <v>2973482.03</v>
      </c>
      <c r="AE5" s="61">
        <f t="shared" si="0"/>
        <v>102515</v>
      </c>
      <c r="AF5" s="61">
        <f t="shared" si="0"/>
        <v>1842272.13</v>
      </c>
      <c r="AG5" s="61">
        <f t="shared" si="0"/>
        <v>158211.66</v>
      </c>
      <c r="AH5" s="61">
        <f t="shared" si="0"/>
        <v>2770820.32</v>
      </c>
      <c r="AI5" s="61">
        <f t="shared" si="0"/>
        <v>2826684.6</v>
      </c>
      <c r="AJ5" s="61">
        <f t="shared" si="0"/>
        <v>375500</v>
      </c>
    </row>
    <row r="6" spans="1:36" x14ac:dyDescent="0.25">
      <c r="A6" s="10">
        <v>4</v>
      </c>
      <c r="B6" s="16">
        <v>1804</v>
      </c>
      <c r="C6" s="16">
        <f>SUM('04'!F3)</f>
        <v>538</v>
      </c>
      <c r="D6" s="16">
        <f>SUM('04'!F4)</f>
        <v>81</v>
      </c>
      <c r="E6" s="16">
        <f>SUM('04'!F5)</f>
        <v>408</v>
      </c>
      <c r="F6" s="16">
        <f>SUM('04'!F6)</f>
        <v>286</v>
      </c>
      <c r="G6" s="16">
        <f>SUM('04'!F20)</f>
        <v>134</v>
      </c>
      <c r="H6" s="16">
        <f>SUM('04'!F22)</f>
        <v>162</v>
      </c>
      <c r="I6" s="16">
        <f>SUM('04'!F15)</f>
        <v>58</v>
      </c>
      <c r="K6" s="16">
        <v>1804</v>
      </c>
      <c r="L6" s="16">
        <f>SUM('04'!G3)</f>
        <v>386</v>
      </c>
      <c r="M6" s="16">
        <f>SUM('04'!G4)</f>
        <v>75</v>
      </c>
      <c r="N6" s="16">
        <f>SUM('04'!G5)</f>
        <v>270</v>
      </c>
      <c r="O6" s="16">
        <f>SUM('04'!G6)</f>
        <v>267</v>
      </c>
      <c r="P6" s="16">
        <f>SUM('04'!G20)</f>
        <v>117</v>
      </c>
      <c r="Q6" s="16">
        <f>SUM('04'!G22)</f>
        <v>112</v>
      </c>
      <c r="R6" s="16">
        <f>SUM('04'!G15)</f>
        <v>57</v>
      </c>
      <c r="T6" s="16">
        <v>1804</v>
      </c>
      <c r="U6" s="16">
        <f>SUM('04'!H3)</f>
        <v>334</v>
      </c>
      <c r="V6" s="16">
        <f>SUM('04'!H4)</f>
        <v>50</v>
      </c>
      <c r="W6" s="16">
        <f>SUM('04'!H5)</f>
        <v>263</v>
      </c>
      <c r="X6" s="16">
        <f>SUM('04'!H6)</f>
        <v>266</v>
      </c>
      <c r="Y6" s="16">
        <f>SUM('04'!H20)</f>
        <v>117</v>
      </c>
      <c r="Z6" s="16">
        <f>SUM('04'!H22)</f>
        <v>111</v>
      </c>
      <c r="AA6" s="16">
        <f>SUM('04'!H15)</f>
        <v>46</v>
      </c>
      <c r="AC6" s="16">
        <v>1804</v>
      </c>
      <c r="AD6" s="61">
        <f t="shared" si="0"/>
        <v>4468879.42</v>
      </c>
      <c r="AE6" s="61">
        <f t="shared" si="0"/>
        <v>521924</v>
      </c>
      <c r="AF6" s="61">
        <f t="shared" si="0"/>
        <v>2589478.54</v>
      </c>
      <c r="AG6" s="61">
        <f t="shared" si="0"/>
        <v>4868230.8600000003</v>
      </c>
      <c r="AH6" s="61">
        <f t="shared" si="0"/>
        <v>3689967.31</v>
      </c>
      <c r="AI6" s="61">
        <f t="shared" si="0"/>
        <v>5068186.8</v>
      </c>
      <c r="AJ6" s="61">
        <f t="shared" si="0"/>
        <v>633452.78</v>
      </c>
    </row>
    <row r="7" spans="1:36" x14ac:dyDescent="0.25">
      <c r="A7" s="10">
        <v>5</v>
      </c>
      <c r="B7" s="16">
        <v>1805</v>
      </c>
      <c r="C7" s="16">
        <f>SUM('05'!F3)</f>
        <v>557</v>
      </c>
      <c r="D7" s="16">
        <f>SUM('05'!F4)</f>
        <v>132</v>
      </c>
      <c r="E7" s="16">
        <f>SUM('05'!F5)</f>
        <v>258</v>
      </c>
      <c r="F7" s="3">
        <f>SUM('05'!F6)</f>
        <v>102</v>
      </c>
      <c r="G7" s="16">
        <f>SUM('05'!F20)</f>
        <v>150</v>
      </c>
      <c r="H7" s="16">
        <f>SUM('05'!F22)</f>
        <v>271</v>
      </c>
      <c r="I7" s="16">
        <f>SUM('05'!F15)</f>
        <v>44</v>
      </c>
      <c r="K7" s="16">
        <v>1805</v>
      </c>
      <c r="L7" s="16">
        <f>SUM('05'!G3)</f>
        <v>342</v>
      </c>
      <c r="M7" s="16">
        <f>SUM('05'!G4)</f>
        <v>92</v>
      </c>
      <c r="N7" s="16">
        <f>SUM('05'!G5)</f>
        <v>156</v>
      </c>
      <c r="O7" s="16">
        <f>SUM('05'!G6)</f>
        <v>72</v>
      </c>
      <c r="P7" s="16">
        <f>SUM('05'!G20)</f>
        <v>189</v>
      </c>
      <c r="Q7" s="16">
        <f>SUM('05'!G22)</f>
        <v>123</v>
      </c>
      <c r="R7" s="16">
        <f>SUM('05'!G15)</f>
        <v>30</v>
      </c>
      <c r="T7" s="16">
        <v>1805</v>
      </c>
      <c r="U7" s="16">
        <f>SUM('05'!H3)</f>
        <v>313</v>
      </c>
      <c r="V7" s="16">
        <f>SUM('05'!H4)</f>
        <v>32</v>
      </c>
      <c r="W7" s="16">
        <f>SUM('05'!H5)</f>
        <v>146</v>
      </c>
      <c r="X7" s="16">
        <f>SUM('05'!H6)</f>
        <v>72</v>
      </c>
      <c r="Y7" s="16">
        <f>SUM('05'!H20)</f>
        <v>185</v>
      </c>
      <c r="Z7" s="16">
        <f>SUM('05'!H22)</f>
        <v>104</v>
      </c>
      <c r="AA7" s="16">
        <f>SUM('05'!H15)</f>
        <v>28</v>
      </c>
      <c r="AC7" s="16">
        <v>1805</v>
      </c>
      <c r="AD7" s="61">
        <f t="shared" si="0"/>
        <v>3999786.19</v>
      </c>
      <c r="AE7" s="61">
        <f t="shared" si="0"/>
        <v>358213.98</v>
      </c>
      <c r="AF7" s="61">
        <f t="shared" si="0"/>
        <v>1431908.84</v>
      </c>
      <c r="AG7" s="292">
        <f t="shared" si="0"/>
        <v>1017649.41</v>
      </c>
      <c r="AH7" s="61">
        <f t="shared" si="0"/>
        <v>4636021.05</v>
      </c>
      <c r="AI7" s="61">
        <f t="shared" si="0"/>
        <v>8540664.1600000001</v>
      </c>
      <c r="AJ7" s="61">
        <f t="shared" si="0"/>
        <v>458700</v>
      </c>
    </row>
    <row r="8" spans="1:36" x14ac:dyDescent="0.25">
      <c r="A8" s="10">
        <v>6</v>
      </c>
      <c r="B8" s="16">
        <v>1806</v>
      </c>
      <c r="C8" s="16">
        <f>SUM('06'!F3)</f>
        <v>427</v>
      </c>
      <c r="D8" s="16">
        <f>SUM('06'!F4)</f>
        <v>46</v>
      </c>
      <c r="E8" s="16">
        <f>SUM('06'!F5)</f>
        <v>136</v>
      </c>
      <c r="F8" s="16">
        <f>SUM('06'!F6)</f>
        <v>22</v>
      </c>
      <c r="G8" s="16">
        <f>SUM('06'!F20)</f>
        <v>68</v>
      </c>
      <c r="H8" s="16">
        <f>SUM('06'!F22)</f>
        <v>62</v>
      </c>
      <c r="I8" s="16">
        <f>SUM('06'!F15)</f>
        <v>6</v>
      </c>
      <c r="K8" s="16">
        <v>1806</v>
      </c>
      <c r="L8" s="16">
        <f>SUM('06'!G3)</f>
        <v>304</v>
      </c>
      <c r="M8" s="16">
        <f>SUM('06'!G4)</f>
        <v>35</v>
      </c>
      <c r="N8" s="16">
        <f>SUM('06'!G5)</f>
        <v>115</v>
      </c>
      <c r="O8" s="16">
        <f>SUM('06'!G6)</f>
        <v>15</v>
      </c>
      <c r="P8" s="16">
        <f>SUM('06'!G20)</f>
        <v>62</v>
      </c>
      <c r="Q8" s="16">
        <f>SUM('06'!G22)</f>
        <v>43</v>
      </c>
      <c r="R8" s="16">
        <f>SUM('06'!G15)</f>
        <v>4</v>
      </c>
      <c r="T8" s="16">
        <v>1806</v>
      </c>
      <c r="U8" s="16">
        <f>SUM('06'!H3)</f>
        <v>270</v>
      </c>
      <c r="V8" s="16">
        <f>SUM('06'!H4)</f>
        <v>29</v>
      </c>
      <c r="W8" s="16">
        <f>SUM('06'!H5)</f>
        <v>113</v>
      </c>
      <c r="X8" s="16">
        <f>SUM('06'!H6)</f>
        <v>15</v>
      </c>
      <c r="Y8" s="16">
        <f>SUM('06'!H20)</f>
        <v>61</v>
      </c>
      <c r="Z8" s="16">
        <f>SUM('06'!H22)</f>
        <v>41</v>
      </c>
      <c r="AA8" s="16">
        <f>SUM('06'!H15)</f>
        <v>4</v>
      </c>
      <c r="AC8" s="16">
        <v>1806</v>
      </c>
      <c r="AD8" s="61">
        <f t="shared" si="0"/>
        <v>3143175.25</v>
      </c>
      <c r="AE8" s="61">
        <f t="shared" si="0"/>
        <v>265606.5</v>
      </c>
      <c r="AF8" s="61">
        <f t="shared" si="0"/>
        <v>594726.61</v>
      </c>
      <c r="AG8" s="61">
        <f t="shared" si="0"/>
        <v>277572.31</v>
      </c>
      <c r="AH8" s="61">
        <f t="shared" si="0"/>
        <v>1796793</v>
      </c>
      <c r="AI8" s="61">
        <f t="shared" si="0"/>
        <v>2050177.2000000002</v>
      </c>
      <c r="AJ8" s="61">
        <f t="shared" si="0"/>
        <v>60000</v>
      </c>
    </row>
    <row r="9" spans="1:36" x14ac:dyDescent="0.25">
      <c r="A9" s="10">
        <v>7</v>
      </c>
      <c r="B9" s="214" t="s">
        <v>275</v>
      </c>
      <c r="C9" s="16">
        <f>SUM('07'!F3)</f>
        <v>344</v>
      </c>
      <c r="D9" s="16">
        <f>SUM('07'!F4)</f>
        <v>113</v>
      </c>
      <c r="E9" s="16">
        <f>SUM('07'!F5)</f>
        <v>82</v>
      </c>
      <c r="F9" s="16">
        <f>SUM('07'!F6)</f>
        <v>32</v>
      </c>
      <c r="G9" s="16">
        <f>SUM('07'!F20)</f>
        <v>102</v>
      </c>
      <c r="H9" s="16">
        <f>SUM('07'!F22)</f>
        <v>128</v>
      </c>
      <c r="I9" s="16">
        <f>SUM('07'!F15)</f>
        <v>47</v>
      </c>
      <c r="K9" s="214" t="s">
        <v>275</v>
      </c>
      <c r="L9" s="16">
        <f>SUM('07'!G3)</f>
        <v>240</v>
      </c>
      <c r="M9" s="16">
        <f>SUM('07'!G4)</f>
        <v>53</v>
      </c>
      <c r="N9" s="16">
        <f>SUM('07'!G5)</f>
        <v>56</v>
      </c>
      <c r="O9" s="16">
        <f>SUM('07'!G6)</f>
        <v>28</v>
      </c>
      <c r="P9" s="16">
        <f>SUM('07'!G20)</f>
        <v>109</v>
      </c>
      <c r="Q9" s="16">
        <f>SUM('07'!G22)</f>
        <v>67</v>
      </c>
      <c r="R9" s="16">
        <f>SUM('07'!G15)</f>
        <v>40</v>
      </c>
      <c r="T9" s="214" t="s">
        <v>275</v>
      </c>
      <c r="U9" s="16">
        <f>SUM('07'!H3)</f>
        <v>199</v>
      </c>
      <c r="V9" s="16">
        <f>SUM('07'!H4)</f>
        <v>24</v>
      </c>
      <c r="W9" s="16">
        <f>SUM('07'!H5)</f>
        <v>54</v>
      </c>
      <c r="X9" s="16">
        <f>SUM('07'!H6)</f>
        <v>27</v>
      </c>
      <c r="Y9" s="16">
        <f>SUM('07'!H20)</f>
        <v>107</v>
      </c>
      <c r="Z9" s="16">
        <f>SUM('07'!H22)</f>
        <v>59</v>
      </c>
      <c r="AA9" s="16">
        <f>SUM('07'!H15)</f>
        <v>39</v>
      </c>
      <c r="AC9" s="214" t="s">
        <v>275</v>
      </c>
      <c r="AD9" s="61">
        <f t="shared" si="0"/>
        <v>2498209.8199999998</v>
      </c>
      <c r="AE9" s="61">
        <f t="shared" si="0"/>
        <v>206889.13</v>
      </c>
      <c r="AF9" s="61">
        <f t="shared" si="0"/>
        <v>346883.04</v>
      </c>
      <c r="AG9" s="61">
        <f t="shared" si="0"/>
        <v>215762.19</v>
      </c>
      <c r="AH9" s="61">
        <f t="shared" si="0"/>
        <v>2535274.9900000002</v>
      </c>
      <c r="AI9" s="61">
        <f t="shared" si="0"/>
        <v>3198922.97</v>
      </c>
      <c r="AJ9" s="61">
        <f t="shared" si="0"/>
        <v>329000</v>
      </c>
    </row>
    <row r="10" spans="1:36" x14ac:dyDescent="0.25">
      <c r="A10" s="10">
        <v>8</v>
      </c>
      <c r="B10" s="16">
        <v>1808</v>
      </c>
      <c r="C10" s="16">
        <f>SUM('08'!F3)</f>
        <v>730</v>
      </c>
      <c r="D10" s="16">
        <f>SUM('08'!F4)</f>
        <v>217</v>
      </c>
      <c r="E10" s="16">
        <f>SUM('08'!F5)</f>
        <v>53</v>
      </c>
      <c r="F10" s="16">
        <f>SUM('08'!F6)</f>
        <v>174</v>
      </c>
      <c r="G10" s="16">
        <f>SUM('08'!F20)</f>
        <v>127</v>
      </c>
      <c r="H10" s="16">
        <f>SUM('08'!F22)</f>
        <v>108</v>
      </c>
      <c r="I10" s="16">
        <f>SUM('08'!F15)</f>
        <v>40</v>
      </c>
      <c r="K10" s="16">
        <v>1808</v>
      </c>
      <c r="L10" s="16">
        <f>SUM('08'!G3)</f>
        <v>501</v>
      </c>
      <c r="M10" s="16">
        <f>SUM('08'!G4)</f>
        <v>93</v>
      </c>
      <c r="N10" s="16">
        <f>SUM('08'!G5)</f>
        <v>44</v>
      </c>
      <c r="O10" s="16">
        <f>SUM('08'!G6)</f>
        <v>152</v>
      </c>
      <c r="P10" s="16">
        <f>SUM('08'!G20)</f>
        <v>116</v>
      </c>
      <c r="Q10" s="16">
        <f>SUM('08'!G22)</f>
        <v>35</v>
      </c>
      <c r="R10" s="16">
        <f>SUM('08'!G15)</f>
        <v>35</v>
      </c>
      <c r="T10" s="16">
        <v>1808</v>
      </c>
      <c r="U10" s="16">
        <f>SUM('08'!H3)</f>
        <v>456</v>
      </c>
      <c r="V10" s="16">
        <f>SUM('08'!H4)</f>
        <v>37</v>
      </c>
      <c r="W10" s="16">
        <f>SUM('08'!H5)</f>
        <v>41</v>
      </c>
      <c r="X10" s="16">
        <f>SUM('08'!H6)</f>
        <v>144</v>
      </c>
      <c r="Y10" s="16">
        <f>SUM('08'!H20)</f>
        <v>111</v>
      </c>
      <c r="Z10" s="432">
        <f>SUM('08'!H22)</f>
        <v>28</v>
      </c>
      <c r="AA10" s="16">
        <f>SUM('08'!H15)</f>
        <v>34</v>
      </c>
      <c r="AC10" s="16">
        <v>1808</v>
      </c>
      <c r="AD10" s="61">
        <f t="shared" ref="AD10:AJ16" si="1">SUM(C35)*1000</f>
        <v>5918988.7699999996</v>
      </c>
      <c r="AE10" s="61">
        <f t="shared" si="1"/>
        <v>419714.09</v>
      </c>
      <c r="AF10" s="61">
        <f t="shared" si="1"/>
        <v>391534.6</v>
      </c>
      <c r="AG10" s="61">
        <f t="shared" si="1"/>
        <v>1876545.35</v>
      </c>
      <c r="AH10" s="61">
        <f t="shared" si="1"/>
        <v>3119601</v>
      </c>
      <c r="AI10" s="433">
        <f t="shared" si="1"/>
        <v>3088161.88</v>
      </c>
      <c r="AJ10" s="61">
        <f t="shared" si="1"/>
        <v>351000</v>
      </c>
    </row>
    <row r="11" spans="1:36" x14ac:dyDescent="0.25">
      <c r="A11" s="10">
        <v>9</v>
      </c>
      <c r="B11" s="16">
        <v>1809</v>
      </c>
      <c r="C11" s="16">
        <f>SUM('09'!F3)</f>
        <v>414</v>
      </c>
      <c r="D11" s="16">
        <f>SUM('09'!F4)</f>
        <v>8</v>
      </c>
      <c r="E11" s="16">
        <f>SUM('09'!F5)</f>
        <v>235</v>
      </c>
      <c r="F11" s="16">
        <f>SUM('09'!F6)</f>
        <v>27</v>
      </c>
      <c r="G11" s="16">
        <f>SUM('09'!F20)</f>
        <v>58</v>
      </c>
      <c r="H11" s="217">
        <f>SUM('09'!F22)</f>
        <v>7</v>
      </c>
      <c r="I11" s="16">
        <f>SUM('09'!F15)</f>
        <v>105</v>
      </c>
      <c r="K11" s="16">
        <v>1809</v>
      </c>
      <c r="L11" s="16">
        <f>SUM('09'!G3)</f>
        <v>316</v>
      </c>
      <c r="M11" s="16">
        <f>SUM('09'!G4)</f>
        <v>8</v>
      </c>
      <c r="N11" s="16">
        <f>SUM('09'!G5)</f>
        <v>158</v>
      </c>
      <c r="O11" s="16">
        <f>SUM('09'!G6)</f>
        <v>27</v>
      </c>
      <c r="P11" s="16">
        <f>SUM('09'!G20)</f>
        <v>69</v>
      </c>
      <c r="Q11" s="432">
        <f>SUM('09'!G22)</f>
        <v>0</v>
      </c>
      <c r="R11" s="16">
        <f>SUM('09'!G15)</f>
        <v>96</v>
      </c>
      <c r="T11" s="16">
        <v>1809</v>
      </c>
      <c r="U11" s="16">
        <f>SUM('09'!H3)</f>
        <v>272</v>
      </c>
      <c r="V11" s="16">
        <f>SUM('09'!H4)</f>
        <v>4</v>
      </c>
      <c r="W11" s="16">
        <f>SUM('09'!H5)</f>
        <v>155</v>
      </c>
      <c r="X11" s="16">
        <f>SUM('09'!H6)</f>
        <v>27</v>
      </c>
      <c r="Y11" s="16">
        <f>SUM('09'!H20)</f>
        <v>58</v>
      </c>
      <c r="Z11" s="432">
        <f>SUM('09'!H22)</f>
        <v>0</v>
      </c>
      <c r="AA11" s="16">
        <f>SUM('09'!H15)</f>
        <v>86</v>
      </c>
      <c r="AC11" s="16">
        <v>1809</v>
      </c>
      <c r="AD11" s="61">
        <f t="shared" si="1"/>
        <v>3505714.46</v>
      </c>
      <c r="AE11" s="61">
        <f t="shared" si="1"/>
        <v>43895.96</v>
      </c>
      <c r="AF11" s="61">
        <f t="shared" si="1"/>
        <v>1452213.2</v>
      </c>
      <c r="AG11" s="61">
        <f t="shared" si="1"/>
        <v>441350.09</v>
      </c>
      <c r="AH11" s="61">
        <f t="shared" si="1"/>
        <v>1623311.71</v>
      </c>
      <c r="AI11" s="293">
        <f t="shared" si="1"/>
        <v>210000</v>
      </c>
      <c r="AJ11" s="61">
        <f t="shared" si="1"/>
        <v>838488.89</v>
      </c>
    </row>
    <row r="12" spans="1:36" x14ac:dyDescent="0.25">
      <c r="A12" s="10">
        <v>10</v>
      </c>
      <c r="B12" s="16">
        <v>1810</v>
      </c>
      <c r="C12" s="16">
        <f>SUM('10'!F3)</f>
        <v>498</v>
      </c>
      <c r="D12" s="16">
        <f>SUM('10'!F4)</f>
        <v>93</v>
      </c>
      <c r="E12" s="16">
        <f>SUM('10'!F5)</f>
        <v>205</v>
      </c>
      <c r="F12" s="16">
        <f>SUM('10'!F6)</f>
        <v>173</v>
      </c>
      <c r="G12" s="16">
        <f>SUM('10'!F20)</f>
        <v>117</v>
      </c>
      <c r="H12" s="16">
        <f>SUM('10'!F22)</f>
        <v>105</v>
      </c>
      <c r="I12" s="16">
        <f>SUM('10'!F15)</f>
        <v>42</v>
      </c>
      <c r="K12" s="16">
        <v>1810</v>
      </c>
      <c r="L12" s="16">
        <f>SUM('10'!G3)</f>
        <v>320</v>
      </c>
      <c r="M12" s="16">
        <f>SUM('10'!G4)</f>
        <v>93</v>
      </c>
      <c r="N12" s="16">
        <f>SUM('10'!G5)</f>
        <v>154</v>
      </c>
      <c r="O12" s="16">
        <f>SUM('10'!G6)</f>
        <v>126</v>
      </c>
      <c r="P12" s="16">
        <f>SUM('10'!G20)</f>
        <v>104</v>
      </c>
      <c r="Q12" s="16">
        <f>SUM('10'!G22)</f>
        <v>80</v>
      </c>
      <c r="R12" s="16">
        <f>SUM('10'!G15)</f>
        <v>49</v>
      </c>
      <c r="T12" s="16">
        <v>1810</v>
      </c>
      <c r="U12" s="16">
        <f>SUM('10'!H3)</f>
        <v>277</v>
      </c>
      <c r="V12" s="16">
        <f>SUM('10'!H4)</f>
        <v>23</v>
      </c>
      <c r="W12" s="16">
        <f>SUM('10'!H5)</f>
        <v>153</v>
      </c>
      <c r="X12" s="16">
        <f>SUM('10'!H6)</f>
        <v>123</v>
      </c>
      <c r="Y12" s="16">
        <f>SUM('10'!H20)</f>
        <v>104</v>
      </c>
      <c r="Z12" s="16">
        <f>SUM('10'!H22)</f>
        <v>80</v>
      </c>
      <c r="AA12" s="16">
        <f>SUM('10'!H15)</f>
        <v>47</v>
      </c>
      <c r="AC12" s="16">
        <v>1810</v>
      </c>
      <c r="AD12" s="61">
        <f t="shared" si="1"/>
        <v>4178777.0899999994</v>
      </c>
      <c r="AE12" s="61">
        <f t="shared" si="1"/>
        <v>290011.14</v>
      </c>
      <c r="AF12" s="61">
        <f t="shared" si="1"/>
        <v>1243802.1399999999</v>
      </c>
      <c r="AG12" s="61">
        <f t="shared" si="1"/>
        <v>2155367.21</v>
      </c>
      <c r="AH12" s="61">
        <f t="shared" si="1"/>
        <v>3234700</v>
      </c>
      <c r="AI12" s="61">
        <f t="shared" si="1"/>
        <v>3015000</v>
      </c>
      <c r="AJ12" s="61">
        <f t="shared" si="1"/>
        <v>399000</v>
      </c>
    </row>
    <row r="13" spans="1:36" x14ac:dyDescent="0.25">
      <c r="A13" s="10">
        <v>11</v>
      </c>
      <c r="B13" s="16">
        <v>1811</v>
      </c>
      <c r="C13" s="16">
        <f>SUM('11'!F3)</f>
        <v>860</v>
      </c>
      <c r="D13" s="16">
        <f>SUM('11'!F4)</f>
        <v>13</v>
      </c>
      <c r="E13" s="16">
        <f>SUM('11'!F5)</f>
        <v>366</v>
      </c>
      <c r="F13" s="16">
        <f>SUM('11'!F6)</f>
        <v>67</v>
      </c>
      <c r="G13" s="16">
        <f>SUM('11'!F20)</f>
        <v>104</v>
      </c>
      <c r="H13" s="16">
        <f>SUM('11'!F22)</f>
        <v>204</v>
      </c>
      <c r="I13" s="16">
        <f>SUM('11'!F15)</f>
        <v>24</v>
      </c>
      <c r="K13" s="16">
        <v>1811</v>
      </c>
      <c r="L13" s="16">
        <f>SUM('11'!G3)</f>
        <v>632</v>
      </c>
      <c r="M13" s="16">
        <f>SUM('11'!G4)</f>
        <v>13</v>
      </c>
      <c r="N13" s="16">
        <f>SUM('11'!G5)</f>
        <v>251</v>
      </c>
      <c r="O13" s="16">
        <f>SUM('11'!G6)</f>
        <v>65</v>
      </c>
      <c r="P13" s="16">
        <f>SUM('11'!G20)</f>
        <v>109</v>
      </c>
      <c r="Q13" s="16">
        <f>SUM('11'!G22)</f>
        <v>135</v>
      </c>
      <c r="R13" s="16">
        <f>SUM('11'!G15)</f>
        <v>24</v>
      </c>
      <c r="T13" s="16">
        <v>1811</v>
      </c>
      <c r="U13" s="16">
        <f>SUM('11'!H3)</f>
        <v>552</v>
      </c>
      <c r="V13" s="16">
        <f>SUM('11'!H4)</f>
        <v>9</v>
      </c>
      <c r="W13" s="16">
        <f>SUM('11'!H5)</f>
        <v>211</v>
      </c>
      <c r="X13" s="16">
        <f>SUM('11'!H6)</f>
        <v>64</v>
      </c>
      <c r="Y13" s="16">
        <f>SUM('11'!H20)</f>
        <v>107</v>
      </c>
      <c r="Z13" s="16">
        <f>SUM('11'!H22)</f>
        <v>117</v>
      </c>
      <c r="AA13" s="16">
        <f>SUM('11'!H15)</f>
        <v>24</v>
      </c>
      <c r="AC13" s="16">
        <v>1811</v>
      </c>
      <c r="AD13" s="61">
        <f t="shared" si="1"/>
        <v>4946915.18</v>
      </c>
      <c r="AE13" s="61">
        <f t="shared" si="1"/>
        <v>41266.33</v>
      </c>
      <c r="AF13" s="61">
        <f t="shared" si="1"/>
        <v>1598752.68</v>
      </c>
      <c r="AG13" s="61">
        <f t="shared" si="1"/>
        <v>728180.29</v>
      </c>
      <c r="AH13" s="61">
        <f t="shared" si="1"/>
        <v>2230408.5699999998</v>
      </c>
      <c r="AI13" s="61">
        <f t="shared" si="1"/>
        <v>4479483.92</v>
      </c>
      <c r="AJ13" s="61">
        <f t="shared" si="1"/>
        <v>192000</v>
      </c>
    </row>
    <row r="14" spans="1:36" x14ac:dyDescent="0.25">
      <c r="A14" s="10">
        <v>12</v>
      </c>
      <c r="B14" s="16">
        <v>1812</v>
      </c>
      <c r="C14" s="16">
        <f>SUM('12'!F3)</f>
        <v>519</v>
      </c>
      <c r="D14" s="16">
        <f>SUM('12'!F4)</f>
        <v>77</v>
      </c>
      <c r="E14" s="16">
        <f>SUM('12'!F5)</f>
        <v>446</v>
      </c>
      <c r="F14" s="16">
        <f>SUM('12'!F6)</f>
        <v>72</v>
      </c>
      <c r="G14" s="16">
        <f>SUM('12'!F20)</f>
        <v>135</v>
      </c>
      <c r="H14" s="16">
        <f>SUM('12'!F22)</f>
        <v>77</v>
      </c>
      <c r="I14" s="16">
        <f>SUM('12'!F15)</f>
        <v>89</v>
      </c>
      <c r="K14" s="16">
        <v>1812</v>
      </c>
      <c r="L14" s="16">
        <f>SUM('12'!G3)</f>
        <v>413</v>
      </c>
      <c r="M14" s="16">
        <f>SUM('12'!G4)</f>
        <v>69</v>
      </c>
      <c r="N14" s="16">
        <f>SUM('12'!G5)</f>
        <v>356</v>
      </c>
      <c r="O14" s="16">
        <f>SUM('12'!G6)</f>
        <v>72</v>
      </c>
      <c r="P14" s="16">
        <f>SUM('12'!G20)</f>
        <v>154</v>
      </c>
      <c r="Q14" s="16">
        <f>SUM('12'!G22)</f>
        <v>43</v>
      </c>
      <c r="R14" s="16">
        <f>SUM('12'!G15)</f>
        <v>68</v>
      </c>
      <c r="T14" s="16">
        <v>1812</v>
      </c>
      <c r="U14" s="16">
        <f>SUM('12'!H3)</f>
        <v>313</v>
      </c>
      <c r="V14" s="16">
        <f>SUM('12'!H4)</f>
        <v>26</v>
      </c>
      <c r="W14" s="16">
        <f>SUM('12'!H5)</f>
        <v>309</v>
      </c>
      <c r="X14" s="16">
        <f>SUM('12'!H6)</f>
        <v>52</v>
      </c>
      <c r="Y14" s="16">
        <f>SUM('12'!H20)</f>
        <v>142</v>
      </c>
      <c r="Z14" s="16">
        <f>SUM('12'!H22)</f>
        <v>35</v>
      </c>
      <c r="AA14" s="16">
        <f>SUM('12'!H15)</f>
        <v>60</v>
      </c>
      <c r="AC14" s="16">
        <v>1812</v>
      </c>
      <c r="AD14" s="61">
        <f t="shared" si="1"/>
        <v>4560674.04</v>
      </c>
      <c r="AE14" s="61">
        <f t="shared" si="1"/>
        <v>401396.36</v>
      </c>
      <c r="AF14" s="61">
        <f t="shared" si="1"/>
        <v>2502806.39</v>
      </c>
      <c r="AG14" s="61">
        <f t="shared" si="1"/>
        <v>1135056.93</v>
      </c>
      <c r="AH14" s="61">
        <f t="shared" si="1"/>
        <v>3645000</v>
      </c>
      <c r="AI14" s="61">
        <f t="shared" si="1"/>
        <v>2283529.41</v>
      </c>
      <c r="AJ14" s="61">
        <f t="shared" si="1"/>
        <v>891000</v>
      </c>
    </row>
    <row r="15" spans="1:36" x14ac:dyDescent="0.25">
      <c r="A15" s="10">
        <v>13</v>
      </c>
      <c r="B15" s="16">
        <v>1814</v>
      </c>
      <c r="C15" s="16">
        <f>SUM('14'!F3)</f>
        <v>746</v>
      </c>
      <c r="D15" s="16">
        <f>SUM('14'!F4)</f>
        <v>52</v>
      </c>
      <c r="E15" s="16">
        <f>SUM('14'!F5)</f>
        <v>372</v>
      </c>
      <c r="F15" s="16">
        <f>SUM('14'!F6)</f>
        <v>159</v>
      </c>
      <c r="G15" s="16">
        <f>SUM('14'!F20)</f>
        <v>75</v>
      </c>
      <c r="H15" s="16">
        <f>SUM('14'!F22)</f>
        <v>56</v>
      </c>
      <c r="I15" s="16">
        <f>SUM('14'!F15)</f>
        <v>19</v>
      </c>
      <c r="K15" s="16">
        <v>1814</v>
      </c>
      <c r="L15" s="16">
        <f>SUM('14'!G3)</f>
        <v>564</v>
      </c>
      <c r="M15" s="16">
        <f>SUM('14'!G4)</f>
        <v>51</v>
      </c>
      <c r="N15" s="16">
        <f>SUM('14'!G5)</f>
        <v>297</v>
      </c>
      <c r="O15" s="16">
        <f>SUM('14'!G6)</f>
        <v>157</v>
      </c>
      <c r="P15" s="16">
        <f>SUM('14'!G20)</f>
        <v>78</v>
      </c>
      <c r="Q15" s="16">
        <f>SUM('14'!G22)</f>
        <v>56</v>
      </c>
      <c r="R15" s="16">
        <f>SUM('14'!G15)</f>
        <v>28</v>
      </c>
      <c r="T15" s="16">
        <v>1814</v>
      </c>
      <c r="U15" s="16">
        <f>SUM('14'!H3)</f>
        <v>440</v>
      </c>
      <c r="V15" s="16">
        <f>SUM('14'!H4)</f>
        <v>29</v>
      </c>
      <c r="W15" s="16">
        <f>SUM('14'!H5)</f>
        <v>266</v>
      </c>
      <c r="X15" s="16">
        <f>SUM('14'!H6)</f>
        <v>139</v>
      </c>
      <c r="Y15" s="16">
        <f>SUM('14'!H20)</f>
        <v>71</v>
      </c>
      <c r="Z15" s="16">
        <f>SUM('14'!H22)</f>
        <v>43</v>
      </c>
      <c r="AA15" s="16">
        <f>SUM('14'!H15)</f>
        <v>23</v>
      </c>
      <c r="AC15" s="16">
        <v>1814</v>
      </c>
      <c r="AD15" s="61">
        <f t="shared" si="1"/>
        <v>6852488.4100000001</v>
      </c>
      <c r="AE15" s="61">
        <f t="shared" si="1"/>
        <v>242673.45</v>
      </c>
      <c r="AF15" s="61">
        <f t="shared" si="1"/>
        <v>2588388.77</v>
      </c>
      <c r="AG15" s="61">
        <f t="shared" si="1"/>
        <v>3167528.15</v>
      </c>
      <c r="AH15" s="61">
        <f t="shared" si="1"/>
        <v>2344608.83</v>
      </c>
      <c r="AI15" s="61">
        <f t="shared" si="1"/>
        <v>1773856.63</v>
      </c>
      <c r="AJ15" s="61">
        <f t="shared" si="1"/>
        <v>209000</v>
      </c>
    </row>
    <row r="16" spans="1:36" x14ac:dyDescent="0.25">
      <c r="A16" s="10">
        <v>14</v>
      </c>
      <c r="B16" s="16">
        <v>1815</v>
      </c>
      <c r="C16" s="16">
        <f>SUM('15'!F3)</f>
        <v>441</v>
      </c>
      <c r="D16" s="16">
        <f>SUM('15'!F4)</f>
        <v>20</v>
      </c>
      <c r="E16" s="16">
        <f>SUM('15'!F5)</f>
        <v>208</v>
      </c>
      <c r="F16" s="16">
        <f>SUM('15'!F6)</f>
        <v>92</v>
      </c>
      <c r="G16" s="16">
        <f>SUM('15'!F20)</f>
        <v>128</v>
      </c>
      <c r="H16" s="16">
        <f>SUM('15'!F22)</f>
        <v>101</v>
      </c>
      <c r="I16" s="16">
        <f>SUM('15'!F15)</f>
        <v>15</v>
      </c>
      <c r="K16" s="16">
        <v>1815</v>
      </c>
      <c r="L16" s="16">
        <f>SUM('15'!G3)</f>
        <v>306</v>
      </c>
      <c r="M16" s="16">
        <f>SUM('15'!G4)</f>
        <v>22</v>
      </c>
      <c r="N16" s="16">
        <f>SUM('15'!G5)</f>
        <v>132</v>
      </c>
      <c r="O16" s="16">
        <f>SUM('15'!G6)</f>
        <v>71</v>
      </c>
      <c r="P16" s="16">
        <f>SUM('15'!G20)</f>
        <v>127</v>
      </c>
      <c r="Q16" s="16">
        <f>SUM('15'!G22)</f>
        <v>89</v>
      </c>
      <c r="R16" s="16">
        <f>SUM('15'!G15)</f>
        <v>21</v>
      </c>
      <c r="T16" s="16">
        <v>1815</v>
      </c>
      <c r="U16" s="16">
        <f>SUM('15'!H3)</f>
        <v>246</v>
      </c>
      <c r="V16" s="16">
        <f>SUM('15'!H4)</f>
        <v>17</v>
      </c>
      <c r="W16" s="16">
        <f>SUM('15'!H5)</f>
        <v>108</v>
      </c>
      <c r="X16" s="16">
        <f>SUM('15'!H6)</f>
        <v>66</v>
      </c>
      <c r="Y16" s="16">
        <f>SUM('15'!H20)</f>
        <v>117</v>
      </c>
      <c r="Z16" s="16">
        <f>SUM('15'!H22)</f>
        <v>73</v>
      </c>
      <c r="AA16" s="16">
        <f>SUM('15'!H15)</f>
        <v>18</v>
      </c>
      <c r="AC16" s="16">
        <v>1815</v>
      </c>
      <c r="AD16" s="61">
        <f t="shared" si="1"/>
        <v>3177333.97</v>
      </c>
      <c r="AE16" s="61">
        <f t="shared" si="1"/>
        <v>138736.93</v>
      </c>
      <c r="AF16" s="61">
        <f t="shared" si="1"/>
        <v>1128160.3700000001</v>
      </c>
      <c r="AG16" s="61">
        <f t="shared" si="1"/>
        <v>1339279.18</v>
      </c>
      <c r="AH16" s="61">
        <f t="shared" si="1"/>
        <v>3407498.82</v>
      </c>
      <c r="AI16" s="61">
        <f t="shared" si="1"/>
        <v>2982080.96</v>
      </c>
      <c r="AJ16" s="61">
        <f t="shared" si="1"/>
        <v>106000</v>
      </c>
    </row>
    <row r="17" spans="1:37" x14ac:dyDescent="0.25">
      <c r="A17" s="10">
        <v>15</v>
      </c>
      <c r="B17" s="214" t="s">
        <v>273</v>
      </c>
      <c r="C17" s="16">
        <f>SUM('63'!F3)</f>
        <v>967</v>
      </c>
      <c r="D17" s="16">
        <f>SUM('63'!F4)</f>
        <v>370</v>
      </c>
      <c r="E17" s="16">
        <f>SUM('63'!F5)</f>
        <v>456</v>
      </c>
      <c r="F17" s="16">
        <f>SUM('63'!F6)</f>
        <v>154</v>
      </c>
      <c r="G17" s="16">
        <f>SUM('63'!F20)</f>
        <v>313</v>
      </c>
      <c r="H17" s="16">
        <f>SUM('63'!F22)</f>
        <v>267</v>
      </c>
      <c r="I17" s="16">
        <f>SUM('63'!F15)</f>
        <v>86</v>
      </c>
      <c r="K17" s="214" t="s">
        <v>273</v>
      </c>
      <c r="L17" s="16">
        <f>SUM('63'!G3)</f>
        <v>752</v>
      </c>
      <c r="M17" s="16">
        <f>SUM('63'!G4)</f>
        <v>367</v>
      </c>
      <c r="N17" s="16">
        <f>SUM('63'!G5)</f>
        <v>303</v>
      </c>
      <c r="O17" s="16">
        <f>SUM('63'!G6)</f>
        <v>117</v>
      </c>
      <c r="P17" s="16">
        <f>SUM('63'!G20)</f>
        <v>179</v>
      </c>
      <c r="Q17" s="16">
        <f>SUM('63'!G22)</f>
        <v>122</v>
      </c>
      <c r="R17" s="16">
        <f>SUM('63'!G15)</f>
        <v>70</v>
      </c>
      <c r="T17" s="214" t="s">
        <v>273</v>
      </c>
      <c r="U17" s="16">
        <f>SUM('63'!H3)</f>
        <v>631</v>
      </c>
      <c r="V17" s="16">
        <f>SUM('63'!H4)</f>
        <v>203</v>
      </c>
      <c r="W17" s="16">
        <f>SUM('63'!H5)</f>
        <v>273</v>
      </c>
      <c r="X17" s="16">
        <f>SUM('63'!H6)</f>
        <v>96</v>
      </c>
      <c r="Y17" s="16">
        <f>SUM('63'!H20)</f>
        <v>174</v>
      </c>
      <c r="Z17" s="16">
        <f>SUM('63'!H22)</f>
        <v>112</v>
      </c>
      <c r="AA17" s="16">
        <f>SUM('63'!H15)</f>
        <v>64</v>
      </c>
      <c r="AC17" s="214" t="s">
        <v>273</v>
      </c>
      <c r="AD17" s="61">
        <f t="shared" ref="AD17:AJ24" si="2">SUM(C43)*1000</f>
        <v>7511808.4900000002</v>
      </c>
      <c r="AE17" s="61">
        <f t="shared" si="2"/>
        <v>556100.30000000005</v>
      </c>
      <c r="AF17" s="61">
        <f t="shared" si="2"/>
        <v>2831354.99</v>
      </c>
      <c r="AG17" s="61">
        <f t="shared" si="2"/>
        <v>2052635.0700000003</v>
      </c>
      <c r="AH17" s="61">
        <f t="shared" si="2"/>
        <v>8645191.5800000001</v>
      </c>
      <c r="AI17" s="61">
        <f t="shared" si="2"/>
        <v>8389227.0899999999</v>
      </c>
      <c r="AJ17" s="61">
        <f t="shared" si="2"/>
        <v>738288.89</v>
      </c>
    </row>
    <row r="18" spans="1:37" x14ac:dyDescent="0.25">
      <c r="A18" s="10">
        <v>16</v>
      </c>
      <c r="B18" s="16">
        <v>1817</v>
      </c>
      <c r="C18" s="16">
        <f>SUM('17'!F3)</f>
        <v>288</v>
      </c>
      <c r="D18" s="16">
        <f>SUM('17'!F4)</f>
        <v>129</v>
      </c>
      <c r="E18" s="16">
        <f>SUM('17'!F5)</f>
        <v>271</v>
      </c>
      <c r="F18" s="16">
        <f>SUM('17'!F6)</f>
        <v>20</v>
      </c>
      <c r="G18" s="16">
        <f>SUM('17'!F20)</f>
        <v>123</v>
      </c>
      <c r="H18" s="16">
        <f>SUM('17'!F22)</f>
        <v>84</v>
      </c>
      <c r="I18" s="16">
        <f>SUM('17'!F15)</f>
        <v>69</v>
      </c>
      <c r="K18" s="16">
        <v>1817</v>
      </c>
      <c r="L18" s="16">
        <f>SUM('17'!G3)</f>
        <v>187</v>
      </c>
      <c r="M18" s="16">
        <f>SUM('17'!G4)</f>
        <v>120</v>
      </c>
      <c r="N18" s="16">
        <f>SUM('17'!G5)</f>
        <v>192</v>
      </c>
      <c r="O18" s="16">
        <f>SUM('17'!G6)</f>
        <v>19</v>
      </c>
      <c r="P18" s="16">
        <f>SUM('17'!G20)</f>
        <v>128</v>
      </c>
      <c r="Q18" s="16">
        <f>SUM('17'!G22)</f>
        <v>52</v>
      </c>
      <c r="R18" s="16">
        <f>SUM('17'!G15)</f>
        <v>58</v>
      </c>
      <c r="T18" s="16">
        <v>1817</v>
      </c>
      <c r="U18" s="16">
        <f>SUM('17'!H3)</f>
        <v>160</v>
      </c>
      <c r="V18" s="16">
        <f>SUM('17'!H4)</f>
        <v>67</v>
      </c>
      <c r="W18" s="16">
        <f>SUM('17'!H5)</f>
        <v>180</v>
      </c>
      <c r="X18" s="16">
        <f>SUM('17'!H6)</f>
        <v>19</v>
      </c>
      <c r="Y18" s="16">
        <f>SUM('17'!H20)</f>
        <v>128</v>
      </c>
      <c r="Z18" s="16">
        <f>SUM('17'!H22)</f>
        <v>49</v>
      </c>
      <c r="AA18" s="16">
        <f>SUM('17'!H15)</f>
        <v>54</v>
      </c>
      <c r="AC18" s="16">
        <v>1817</v>
      </c>
      <c r="AD18" s="61">
        <f t="shared" si="2"/>
        <v>1972547.17</v>
      </c>
      <c r="AE18" s="61">
        <f t="shared" si="2"/>
        <v>562053.99</v>
      </c>
      <c r="AF18" s="61">
        <f t="shared" si="2"/>
        <v>1313806.43</v>
      </c>
      <c r="AG18" s="61">
        <f t="shared" si="2"/>
        <v>190016.68</v>
      </c>
      <c r="AH18" s="61">
        <f t="shared" si="2"/>
        <v>3281443.8</v>
      </c>
      <c r="AI18" s="61">
        <f t="shared" si="2"/>
        <v>2349528.5299999998</v>
      </c>
      <c r="AJ18" s="61">
        <f t="shared" si="2"/>
        <v>537546</v>
      </c>
    </row>
    <row r="19" spans="1:37" x14ac:dyDescent="0.25">
      <c r="A19" s="10">
        <v>17</v>
      </c>
      <c r="B19" s="16">
        <v>1818</v>
      </c>
      <c r="C19" s="16">
        <f>SUM('18'!F3)</f>
        <v>491</v>
      </c>
      <c r="D19" s="16">
        <f>SUM('18'!F4)</f>
        <v>178</v>
      </c>
      <c r="E19" s="16">
        <f>SUM('18'!F5)</f>
        <v>223</v>
      </c>
      <c r="F19" s="16">
        <f>SUM('18'!F6)</f>
        <v>62</v>
      </c>
      <c r="G19" s="16">
        <f>SUM('18'!F20)</f>
        <v>79</v>
      </c>
      <c r="H19" s="16">
        <f>SUM('18'!F22)</f>
        <v>53</v>
      </c>
      <c r="I19" s="16">
        <f>SUM('18'!F15)</f>
        <v>29</v>
      </c>
      <c r="K19" s="16">
        <v>1818</v>
      </c>
      <c r="L19" s="16">
        <f>SUM('18'!G3)</f>
        <v>301</v>
      </c>
      <c r="M19" s="16">
        <f>SUM('18'!G4)</f>
        <v>155</v>
      </c>
      <c r="N19" s="16">
        <f>SUM('18'!G5)</f>
        <v>131</v>
      </c>
      <c r="O19" s="16">
        <f>SUM('18'!G6)</f>
        <v>54</v>
      </c>
      <c r="P19" s="16">
        <f>SUM('18'!G20)</f>
        <v>97</v>
      </c>
      <c r="Q19" s="16">
        <f>SUM('18'!G22)</f>
        <v>27</v>
      </c>
      <c r="R19" s="16">
        <f>SUM('18'!G15)</f>
        <v>36</v>
      </c>
      <c r="T19" s="16">
        <v>1818</v>
      </c>
      <c r="U19" s="16">
        <f>SUM('18'!H3)</f>
        <v>248</v>
      </c>
      <c r="V19" s="16">
        <f>SUM('18'!H4)</f>
        <v>106</v>
      </c>
      <c r="W19" s="16">
        <f>SUM('18'!H5)</f>
        <v>130</v>
      </c>
      <c r="X19" s="16">
        <f>SUM('18'!H6)</f>
        <v>50</v>
      </c>
      <c r="Y19" s="16">
        <f>SUM('18'!H20)</f>
        <v>86</v>
      </c>
      <c r="Z19" s="16">
        <f>SUM('18'!H22)</f>
        <v>26</v>
      </c>
      <c r="AA19" s="16">
        <f>SUM('18'!H15)</f>
        <v>34</v>
      </c>
      <c r="AC19" s="16">
        <v>1818</v>
      </c>
      <c r="AD19" s="61">
        <f t="shared" si="2"/>
        <v>3310802.51</v>
      </c>
      <c r="AE19" s="61">
        <f t="shared" si="2"/>
        <v>357439.57</v>
      </c>
      <c r="AF19" s="61">
        <f t="shared" si="2"/>
        <v>1262822.6499999999</v>
      </c>
      <c r="AG19" s="61">
        <f t="shared" si="2"/>
        <v>881459.18</v>
      </c>
      <c r="AH19" s="61">
        <f t="shared" si="2"/>
        <v>1919891.97</v>
      </c>
      <c r="AI19" s="61">
        <f t="shared" si="2"/>
        <v>1517759.86</v>
      </c>
      <c r="AJ19" s="61">
        <f t="shared" si="2"/>
        <v>277756.90999999997</v>
      </c>
    </row>
    <row r="20" spans="1:37" x14ac:dyDescent="0.25">
      <c r="A20" s="10">
        <v>18</v>
      </c>
      <c r="B20" s="16">
        <v>1819</v>
      </c>
      <c r="C20" s="16">
        <f>SUM('19'!F3)</f>
        <v>802</v>
      </c>
      <c r="D20" s="16">
        <f>SUM('19'!F4)</f>
        <v>107</v>
      </c>
      <c r="E20" s="16">
        <f>SUM('19'!F5)</f>
        <v>142</v>
      </c>
      <c r="F20" s="16">
        <f>SUM('19'!F6)</f>
        <v>132</v>
      </c>
      <c r="G20" s="16">
        <f>SUM('19'!F20)</f>
        <v>108</v>
      </c>
      <c r="H20" s="16">
        <f>SUM('19'!F22)</f>
        <v>106</v>
      </c>
      <c r="I20" s="16">
        <f>SUM('19'!F15)</f>
        <v>33</v>
      </c>
      <c r="K20" s="16">
        <v>1819</v>
      </c>
      <c r="L20" s="16">
        <f>SUM('19'!G3)</f>
        <v>580</v>
      </c>
      <c r="M20" s="16">
        <f>SUM('19'!G4)</f>
        <v>52</v>
      </c>
      <c r="N20" s="16">
        <f>SUM('19'!G5)</f>
        <v>114</v>
      </c>
      <c r="O20" s="16">
        <f>SUM('19'!G6)</f>
        <v>117</v>
      </c>
      <c r="P20" s="16">
        <f>SUM('19'!G20)</f>
        <v>88</v>
      </c>
      <c r="Q20" s="16">
        <f>SUM('19'!G22)</f>
        <v>58</v>
      </c>
      <c r="R20" s="16">
        <f>SUM('19'!G15)</f>
        <v>27</v>
      </c>
      <c r="T20" s="16">
        <v>1819</v>
      </c>
      <c r="U20" s="16">
        <f>SUM('19'!H3)</f>
        <v>511</v>
      </c>
      <c r="V20" s="16">
        <f>SUM('19'!H4)</f>
        <v>30</v>
      </c>
      <c r="W20" s="16">
        <f>SUM('19'!H5)</f>
        <v>110</v>
      </c>
      <c r="X20" s="16">
        <f>SUM('19'!H6)</f>
        <v>117</v>
      </c>
      <c r="Y20" s="16">
        <f>SUM('19'!H20)</f>
        <v>85</v>
      </c>
      <c r="Z20" s="16">
        <f>SUM('19'!H22)</f>
        <v>53</v>
      </c>
      <c r="AA20" s="16">
        <f>SUM('19'!H15)</f>
        <v>27</v>
      </c>
      <c r="AC20" s="16">
        <v>1819</v>
      </c>
      <c r="AD20" s="61">
        <f t="shared" si="2"/>
        <v>6869222.8600000003</v>
      </c>
      <c r="AE20" s="61">
        <f t="shared" si="2"/>
        <v>329550.46000000002</v>
      </c>
      <c r="AF20" s="61">
        <f t="shared" si="2"/>
        <v>833665.8</v>
      </c>
      <c r="AG20" s="61">
        <f t="shared" si="2"/>
        <v>1918029.89</v>
      </c>
      <c r="AH20" s="61">
        <f t="shared" si="2"/>
        <v>3225189.47</v>
      </c>
      <c r="AI20" s="61">
        <f t="shared" si="2"/>
        <v>3124458.74</v>
      </c>
      <c r="AJ20" s="61">
        <f t="shared" si="2"/>
        <v>289500</v>
      </c>
    </row>
    <row r="21" spans="1:37" x14ac:dyDescent="0.25">
      <c r="A21" s="10">
        <v>19</v>
      </c>
      <c r="B21" s="214" t="s">
        <v>272</v>
      </c>
      <c r="C21" s="16">
        <f>SUM('20'!F3)</f>
        <v>474</v>
      </c>
      <c r="D21" s="16">
        <f>SUM('20'!F4)</f>
        <v>85</v>
      </c>
      <c r="E21" s="16">
        <f>SUM('20'!F5)</f>
        <v>130</v>
      </c>
      <c r="F21" s="16">
        <f>SUM('20'!F6)</f>
        <v>288</v>
      </c>
      <c r="G21" s="16">
        <f>SUM('20'!F20)</f>
        <v>54</v>
      </c>
      <c r="H21" s="16">
        <f>SUM('20'!F22)</f>
        <v>38</v>
      </c>
      <c r="I21" s="16">
        <f>SUM('20'!F15)</f>
        <v>69</v>
      </c>
      <c r="K21" s="214" t="s">
        <v>272</v>
      </c>
      <c r="L21" s="16">
        <f>SUM('20'!G3)</f>
        <v>296</v>
      </c>
      <c r="M21" s="16">
        <f>SUM('20'!G4)</f>
        <v>70</v>
      </c>
      <c r="N21" s="16">
        <f>SUM('20'!G5)</f>
        <v>83</v>
      </c>
      <c r="O21" s="16">
        <f>SUM('20'!G6)</f>
        <v>279</v>
      </c>
      <c r="P21" s="16">
        <f>SUM('20'!G20)</f>
        <v>71</v>
      </c>
      <c r="Q21" s="16">
        <f>SUM('20'!G22)</f>
        <v>38</v>
      </c>
      <c r="R21" s="16">
        <f>SUM('20'!G15)</f>
        <v>69</v>
      </c>
      <c r="T21" s="214" t="s">
        <v>272</v>
      </c>
      <c r="U21" s="16">
        <f>SUM('20'!H3)</f>
        <v>270</v>
      </c>
      <c r="V21" s="16">
        <f>SUM('20'!H4)</f>
        <v>26</v>
      </c>
      <c r="W21" s="16">
        <f>SUM('20'!H5)</f>
        <v>80</v>
      </c>
      <c r="X21" s="16">
        <f>SUM('20'!H6)</f>
        <v>271</v>
      </c>
      <c r="Y21" s="16">
        <f>SUM('20'!H20)</f>
        <v>71</v>
      </c>
      <c r="Z21" s="16">
        <f>SUM('20'!H22)</f>
        <v>38</v>
      </c>
      <c r="AA21" s="16">
        <f>SUM('20'!H15)</f>
        <v>63</v>
      </c>
      <c r="AC21" s="214" t="s">
        <v>272</v>
      </c>
      <c r="AD21" s="61">
        <f t="shared" si="2"/>
        <v>3278219.33</v>
      </c>
      <c r="AE21" s="61">
        <f t="shared" si="2"/>
        <v>329751.36</v>
      </c>
      <c r="AF21" s="61">
        <f t="shared" si="2"/>
        <v>707878.57</v>
      </c>
      <c r="AG21" s="61">
        <f t="shared" si="2"/>
        <v>4237878.8499999996</v>
      </c>
      <c r="AH21" s="61">
        <f t="shared" si="2"/>
        <v>1398753.41</v>
      </c>
      <c r="AI21" s="61">
        <f t="shared" si="2"/>
        <v>1099306.47</v>
      </c>
      <c r="AJ21" s="61">
        <f t="shared" si="2"/>
        <v>561566.81000000006</v>
      </c>
    </row>
    <row r="22" spans="1:37" x14ac:dyDescent="0.25">
      <c r="A22" s="10">
        <v>20</v>
      </c>
      <c r="B22" s="16">
        <v>1821</v>
      </c>
      <c r="C22" s="16">
        <f>SUM('21'!F3)</f>
        <v>170</v>
      </c>
      <c r="D22" s="16">
        <f>SUM('21'!F4)</f>
        <v>11</v>
      </c>
      <c r="E22" s="16">
        <f>SUM('21'!F5)</f>
        <v>43</v>
      </c>
      <c r="F22" s="16">
        <f>SUM('21'!F6)</f>
        <v>46</v>
      </c>
      <c r="G22" s="16">
        <f>SUM('21'!F20)</f>
        <v>83</v>
      </c>
      <c r="H22" s="16">
        <f>SUM('21'!F22)</f>
        <v>41</v>
      </c>
      <c r="I22" s="16">
        <f>SUM('21'!F15)</f>
        <v>48</v>
      </c>
      <c r="K22" s="16">
        <v>1821</v>
      </c>
      <c r="L22" s="16">
        <f>SUM('21'!G3)</f>
        <v>113</v>
      </c>
      <c r="M22" s="16">
        <f>SUM('21'!G4)</f>
        <v>10</v>
      </c>
      <c r="N22" s="16">
        <f>SUM('21'!G5)</f>
        <v>37</v>
      </c>
      <c r="O22" s="16">
        <f>SUM('21'!G6)</f>
        <v>36</v>
      </c>
      <c r="P22" s="16">
        <f>SUM('21'!G20)</f>
        <v>70</v>
      </c>
      <c r="Q22" s="16">
        <f>SUM('21'!G22)</f>
        <v>10</v>
      </c>
      <c r="R22" s="16">
        <f>SUM('21'!G15)</f>
        <v>39</v>
      </c>
      <c r="T22" s="16">
        <v>1821</v>
      </c>
      <c r="U22" s="16">
        <f>SUM('21'!H3)</f>
        <v>94</v>
      </c>
      <c r="V22" s="16">
        <f>SUM('21'!H4)</f>
        <v>9</v>
      </c>
      <c r="W22" s="16">
        <f>SUM('21'!H5)</f>
        <v>35</v>
      </c>
      <c r="X22" s="16">
        <f>SUM('21'!H6)</f>
        <v>30</v>
      </c>
      <c r="Y22" s="16">
        <f>SUM('21'!H20)</f>
        <v>58</v>
      </c>
      <c r="Z22" s="16">
        <f>SUM('21'!H22)</f>
        <v>10</v>
      </c>
      <c r="AA22" s="16">
        <f>SUM('21'!H15)</f>
        <v>35</v>
      </c>
      <c r="AC22" s="16">
        <v>1821</v>
      </c>
      <c r="AD22" s="61">
        <f t="shared" si="2"/>
        <v>1259166.98</v>
      </c>
      <c r="AE22" s="61">
        <f t="shared" si="2"/>
        <v>49985.68</v>
      </c>
      <c r="AF22" s="61">
        <f t="shared" si="2"/>
        <v>206353.78</v>
      </c>
      <c r="AG22" s="61">
        <f t="shared" si="2"/>
        <v>643098.05000000005</v>
      </c>
      <c r="AH22" s="61">
        <f t="shared" si="2"/>
        <v>2556267.1800000002</v>
      </c>
      <c r="AI22" s="61">
        <f t="shared" si="2"/>
        <v>1276691.82</v>
      </c>
      <c r="AJ22" s="61">
        <f t="shared" si="2"/>
        <v>524500</v>
      </c>
    </row>
    <row r="23" spans="1:37" x14ac:dyDescent="0.25">
      <c r="A23" s="10">
        <v>21</v>
      </c>
      <c r="B23" s="214" t="s">
        <v>274</v>
      </c>
      <c r="C23" s="16">
        <f>SUM('62'!F3)</f>
        <v>297</v>
      </c>
      <c r="D23" s="16">
        <f>SUM('62'!F4)</f>
        <v>53</v>
      </c>
      <c r="E23" s="16">
        <f>SUM('62'!F5)</f>
        <v>467</v>
      </c>
      <c r="F23" s="16">
        <f>SUM('62'!F6)</f>
        <v>169</v>
      </c>
      <c r="G23" s="16">
        <f>SUM('62'!F20)</f>
        <v>122</v>
      </c>
      <c r="H23" s="16">
        <f>SUM('62'!F22)</f>
        <v>81</v>
      </c>
      <c r="I23" s="16">
        <f>SUM('62'!F15)</f>
        <v>138</v>
      </c>
      <c r="K23" s="214" t="s">
        <v>274</v>
      </c>
      <c r="L23" s="16">
        <f>SUM('62'!G3)</f>
        <v>204</v>
      </c>
      <c r="M23" s="16">
        <f>SUM('62'!G4)</f>
        <v>67</v>
      </c>
      <c r="N23" s="16">
        <f>SUM('62'!G5)</f>
        <v>253</v>
      </c>
      <c r="O23" s="16">
        <f>SUM('62'!G6)</f>
        <v>136</v>
      </c>
      <c r="P23" s="16">
        <f>SUM('62'!G20)</f>
        <v>174</v>
      </c>
      <c r="Q23" s="16">
        <f>SUM('62'!G22)</f>
        <v>77</v>
      </c>
      <c r="R23" s="16">
        <f>SUM('62'!G15)</f>
        <v>138</v>
      </c>
      <c r="T23" s="214" t="s">
        <v>274</v>
      </c>
      <c r="U23" s="16">
        <f>SUM('62'!H3)</f>
        <v>175</v>
      </c>
      <c r="V23" s="16">
        <f>SUM('62'!H4)</f>
        <v>30</v>
      </c>
      <c r="W23" s="16">
        <f>SUM('62'!H5)</f>
        <v>247</v>
      </c>
      <c r="X23" s="16">
        <f>SUM('62'!H6)</f>
        <v>129</v>
      </c>
      <c r="Y23" s="16">
        <f>SUM('62'!H20)</f>
        <v>156</v>
      </c>
      <c r="Z23" s="16">
        <f>SUM('62'!H22)</f>
        <v>63</v>
      </c>
      <c r="AA23" s="16">
        <f>SUM('62'!H15)</f>
        <v>126</v>
      </c>
      <c r="AC23" s="214" t="s">
        <v>274</v>
      </c>
      <c r="AD23" s="61">
        <f t="shared" si="2"/>
        <v>2359184.2400000002</v>
      </c>
      <c r="AE23" s="61">
        <f t="shared" si="2"/>
        <v>261876.84000000003</v>
      </c>
      <c r="AF23" s="61">
        <f t="shared" si="2"/>
        <v>2906653.11</v>
      </c>
      <c r="AG23" s="61">
        <f t="shared" si="2"/>
        <v>2110184.8199999998</v>
      </c>
      <c r="AH23" s="61">
        <f t="shared" si="2"/>
        <v>3560675.14</v>
      </c>
      <c r="AI23" s="61">
        <f t="shared" si="2"/>
        <v>2429583.69</v>
      </c>
      <c r="AJ23" s="61">
        <f t="shared" si="2"/>
        <v>1242000</v>
      </c>
    </row>
    <row r="24" spans="1:37" ht="14.25" customHeight="1" x14ac:dyDescent="0.25">
      <c r="B24" s="348" t="s">
        <v>137</v>
      </c>
      <c r="C24" s="389">
        <f t="shared" ref="C24:H24" si="3">SUM(C3:C23)</f>
        <v>10657</v>
      </c>
      <c r="D24" s="389">
        <f t="shared" si="3"/>
        <v>1845</v>
      </c>
      <c r="E24" s="389">
        <f t="shared" si="3"/>
        <v>5180</v>
      </c>
      <c r="F24" s="389">
        <f t="shared" si="3"/>
        <v>2172</v>
      </c>
      <c r="G24" s="389">
        <f t="shared" si="3"/>
        <v>2383</v>
      </c>
      <c r="H24" s="389">
        <f t="shared" si="3"/>
        <v>2178</v>
      </c>
      <c r="I24" s="389">
        <f>SUM(I3:I23)</f>
        <v>1132</v>
      </c>
      <c r="J24" s="28"/>
      <c r="K24" s="348" t="s">
        <v>137</v>
      </c>
      <c r="L24" s="389">
        <f t="shared" ref="L24:Q24" si="4">SUM(L3:L23)</f>
        <v>7469</v>
      </c>
      <c r="M24" s="389">
        <f t="shared" si="4"/>
        <v>1501</v>
      </c>
      <c r="N24" s="389">
        <f t="shared" si="4"/>
        <v>3613</v>
      </c>
      <c r="O24" s="389">
        <f t="shared" si="4"/>
        <v>1891</v>
      </c>
      <c r="P24" s="389">
        <f t="shared" si="4"/>
        <v>2324</v>
      </c>
      <c r="Q24" s="389">
        <f t="shared" si="4"/>
        <v>1318</v>
      </c>
      <c r="R24" s="389">
        <f t="shared" ref="R24" si="5">SUM(R3:R23)</f>
        <v>1001</v>
      </c>
      <c r="S24" s="28"/>
      <c r="T24" s="348" t="s">
        <v>137</v>
      </c>
      <c r="U24" s="389">
        <f t="shared" ref="U24:Z24" si="6">SUM(U3:U23)</f>
        <v>6354</v>
      </c>
      <c r="V24" s="389">
        <f t="shared" si="6"/>
        <v>781</v>
      </c>
      <c r="W24" s="389">
        <f t="shared" si="6"/>
        <v>3373</v>
      </c>
      <c r="X24" s="389">
        <f t="shared" si="6"/>
        <v>1782</v>
      </c>
      <c r="Y24" s="389">
        <f t="shared" si="6"/>
        <v>2217</v>
      </c>
      <c r="Z24" s="389">
        <f t="shared" si="6"/>
        <v>1190</v>
      </c>
      <c r="AA24" s="389">
        <f>SUM(AA3:AA23)</f>
        <v>913</v>
      </c>
      <c r="AC24" s="348" t="s">
        <v>137</v>
      </c>
      <c r="AD24" s="391">
        <f t="shared" si="2"/>
        <v>82696333.37999998</v>
      </c>
      <c r="AE24" s="391">
        <f t="shared" si="2"/>
        <v>5662512.6100000003</v>
      </c>
      <c r="AF24" s="391">
        <f t="shared" si="2"/>
        <v>29417699.989999998</v>
      </c>
      <c r="AG24" s="391">
        <f t="shared" si="2"/>
        <v>30695179.130000006</v>
      </c>
      <c r="AH24" s="391">
        <f t="shared" si="2"/>
        <v>64698140.999999993</v>
      </c>
      <c r="AI24" s="391">
        <f t="shared" si="2"/>
        <v>63169621.400000013</v>
      </c>
      <c r="AJ24" s="391">
        <f t="shared" si="2"/>
        <v>10240800.77</v>
      </c>
    </row>
    <row r="25" spans="1:37" x14ac:dyDescent="0.25">
      <c r="B25" s="15" t="s">
        <v>395</v>
      </c>
      <c r="K25" s="450" t="s">
        <v>346</v>
      </c>
      <c r="T25" s="14" t="s">
        <v>303</v>
      </c>
    </row>
    <row r="26" spans="1:37" x14ac:dyDescent="0.25">
      <c r="B26" s="348">
        <v>2021</v>
      </c>
      <c r="C26" s="348" t="s">
        <v>136</v>
      </c>
      <c r="D26" s="348" t="s">
        <v>135</v>
      </c>
      <c r="E26" s="348" t="s">
        <v>138</v>
      </c>
      <c r="F26" s="348" t="s">
        <v>139</v>
      </c>
      <c r="G26" s="348" t="s">
        <v>141</v>
      </c>
      <c r="H26" s="348" t="s">
        <v>140</v>
      </c>
      <c r="I26" s="348" t="s">
        <v>297</v>
      </c>
      <c r="K26" s="348">
        <v>2021</v>
      </c>
      <c r="L26" s="348" t="s">
        <v>136</v>
      </c>
      <c r="M26" s="348" t="s">
        <v>135</v>
      </c>
      <c r="N26" s="348" t="s">
        <v>138</v>
      </c>
      <c r="O26" s="348" t="s">
        <v>139</v>
      </c>
      <c r="P26" s="348" t="s">
        <v>141</v>
      </c>
      <c r="Q26" s="348" t="s">
        <v>140</v>
      </c>
      <c r="R26" s="348" t="s">
        <v>297</v>
      </c>
      <c r="T26" s="348">
        <v>2021</v>
      </c>
      <c r="U26" s="348" t="s">
        <v>136</v>
      </c>
      <c r="V26" s="348" t="s">
        <v>135</v>
      </c>
      <c r="W26" s="348" t="s">
        <v>138</v>
      </c>
      <c r="X26" s="348" t="s">
        <v>139</v>
      </c>
      <c r="Y26" s="348" t="s">
        <v>141</v>
      </c>
      <c r="Z26" s="348" t="s">
        <v>140</v>
      </c>
      <c r="AA26" s="348" t="s">
        <v>297</v>
      </c>
      <c r="AE26" s="248">
        <f>SUM(AD24:AI24)</f>
        <v>276339487.50999999</v>
      </c>
      <c r="AF26" s="248">
        <f>SUM(AD24:AJ24)</f>
        <v>286580288.27999997</v>
      </c>
    </row>
    <row r="27" spans="1:37" x14ac:dyDescent="0.25">
      <c r="B27" s="16">
        <v>1801</v>
      </c>
      <c r="C27" s="289">
        <f>SUM('01'!E3)/1000</f>
        <v>1888.0704499999999</v>
      </c>
      <c r="D27" s="289">
        <f>SUM('01'!E4)/1000</f>
        <v>45.377859999999998</v>
      </c>
      <c r="E27" s="289">
        <f>SUM('01'!E5)/1000</f>
        <v>661.41498000000001</v>
      </c>
      <c r="F27" s="289">
        <f>SUM('01'!E6)/1000</f>
        <v>136.68317000000002</v>
      </c>
      <c r="G27" s="289">
        <f>SUM('01'!E20)/1000</f>
        <v>1649.9860700000002</v>
      </c>
      <c r="H27" s="289">
        <f>SUM('01'!E22)/1000</f>
        <v>750</v>
      </c>
      <c r="I27" s="289">
        <f>SUM('01'!E15)/1000</f>
        <v>623.50049000000001</v>
      </c>
      <c r="J27" s="10">
        <v>1</v>
      </c>
      <c r="K27" s="16">
        <v>1801</v>
      </c>
      <c r="L27" s="6">
        <f t="shared" ref="L27:R33" si="7">AD3/U3</f>
        <v>13681.669927536232</v>
      </c>
      <c r="M27" s="6">
        <f t="shared" si="7"/>
        <v>11344.465</v>
      </c>
      <c r="N27" s="6">
        <f t="shared" si="7"/>
        <v>6614.1498000000001</v>
      </c>
      <c r="O27" s="6">
        <f t="shared" si="7"/>
        <v>19526.167142857146</v>
      </c>
      <c r="P27" s="6">
        <f t="shared" si="7"/>
        <v>29999.74672727273</v>
      </c>
      <c r="Q27" s="6">
        <f t="shared" si="7"/>
        <v>107142.85714285714</v>
      </c>
      <c r="R27" s="6">
        <f t="shared" si="7"/>
        <v>18338.249705882354</v>
      </c>
      <c r="T27" s="16">
        <v>1801</v>
      </c>
      <c r="U27" s="5">
        <f t="shared" ref="U27:U33" si="8">SUM(U3/L3)*100</f>
        <v>85.714285714285708</v>
      </c>
      <c r="V27" s="5">
        <f t="shared" ref="V27:V33" si="9">SUM(V3/M3)*100</f>
        <v>40</v>
      </c>
      <c r="W27" s="5">
        <f t="shared" ref="W27:W33" si="10">SUM(W3/N3)*100</f>
        <v>97.087378640776706</v>
      </c>
      <c r="X27" s="5">
        <f t="shared" ref="X27:X33" si="11">SUM(X3/O3)*100</f>
        <v>100</v>
      </c>
      <c r="Y27" s="5">
        <f t="shared" ref="Y27:Y33" si="12">SUM(Y3/P3)*100</f>
        <v>94.827586206896555</v>
      </c>
      <c r="Z27" s="5">
        <f t="shared" ref="Z27:AA33" si="13">SUM(Z3/Q3)*100</f>
        <v>87.5</v>
      </c>
      <c r="AA27" s="5">
        <f>SUM(AA3/R3)*100</f>
        <v>87.179487179487182</v>
      </c>
      <c r="AE27" s="546">
        <f>SUM(C50:H50)</f>
        <v>276339.48751000001</v>
      </c>
      <c r="AF27" s="546">
        <f>SUM(C50:I50)</f>
        <v>286580.28827999998</v>
      </c>
      <c r="AG27" s="26"/>
      <c r="AH27" s="26"/>
      <c r="AI27" s="26"/>
      <c r="AJ27" s="26"/>
      <c r="AK27" s="26"/>
    </row>
    <row r="28" spans="1:37" x14ac:dyDescent="0.25">
      <c r="B28" s="16">
        <v>1802</v>
      </c>
      <c r="C28" s="289">
        <f>SUM('02'!E3)/1000</f>
        <v>4022.8867200000004</v>
      </c>
      <c r="D28" s="289">
        <f>SUM('02'!E4)/1000</f>
        <v>137.53368</v>
      </c>
      <c r="E28" s="289">
        <f>SUM('02'!E5)/1000</f>
        <v>982.82236999999998</v>
      </c>
      <c r="F28" s="289">
        <f>SUM('02'!E6)/1000</f>
        <v>1144.4597900000001</v>
      </c>
      <c r="G28" s="289">
        <f>SUM('02'!E20)/1000</f>
        <v>3426.7367799999997</v>
      </c>
      <c r="H28" s="289">
        <f>SUM('02'!E22)/1000</f>
        <v>2716.3166699999997</v>
      </c>
      <c r="I28" s="289">
        <f>SUM('02'!E15)/1000</f>
        <v>603</v>
      </c>
      <c r="J28" s="10">
        <v>2</v>
      </c>
      <c r="K28" s="16">
        <v>1802</v>
      </c>
      <c r="L28" s="6">
        <f t="shared" si="7"/>
        <v>15714.401250000001</v>
      </c>
      <c r="M28" s="6">
        <f t="shared" si="7"/>
        <v>8595.8549999999996</v>
      </c>
      <c r="N28" s="6">
        <f t="shared" si="7"/>
        <v>6066.8047530864196</v>
      </c>
      <c r="O28" s="6">
        <f t="shared" si="7"/>
        <v>19397.623559322034</v>
      </c>
      <c r="P28" s="6">
        <f t="shared" si="7"/>
        <v>31437.952110091741</v>
      </c>
      <c r="Q28" s="6">
        <f t="shared" si="7"/>
        <v>37726.620416666665</v>
      </c>
      <c r="R28" s="6">
        <f t="shared" si="7"/>
        <v>17228.571428571428</v>
      </c>
      <c r="T28" s="16">
        <v>1802</v>
      </c>
      <c r="U28" s="5">
        <f t="shared" si="8"/>
        <v>85.618729096989966</v>
      </c>
      <c r="V28" s="5">
        <f t="shared" si="9"/>
        <v>59.259259259259252</v>
      </c>
      <c r="W28" s="5">
        <f t="shared" si="10"/>
        <v>96.428571428571431</v>
      </c>
      <c r="X28" s="5">
        <f t="shared" si="11"/>
        <v>95.161290322580655</v>
      </c>
      <c r="Y28" s="5">
        <f t="shared" si="12"/>
        <v>99.090909090909093</v>
      </c>
      <c r="Z28" s="5">
        <f t="shared" si="13"/>
        <v>100</v>
      </c>
      <c r="AA28" s="5">
        <f t="shared" si="13"/>
        <v>92.10526315789474</v>
      </c>
      <c r="AE28" s="247">
        <f>SUM(AE26)/1000</f>
        <v>276339.48751000001</v>
      </c>
      <c r="AF28" s="10">
        <f>SUM(AF26)/1000</f>
        <v>286580.28827999998</v>
      </c>
      <c r="AG28" s="26"/>
      <c r="AH28" s="560"/>
      <c r="AI28" s="561"/>
      <c r="AJ28" s="26"/>
      <c r="AK28" s="26"/>
    </row>
    <row r="29" spans="1:37" x14ac:dyDescent="0.25">
      <c r="B29" s="16">
        <v>1803</v>
      </c>
      <c r="C29" s="289">
        <f>SUM('03'!E3)/1000</f>
        <v>2973.4820299999997</v>
      </c>
      <c r="D29" s="289">
        <f>SUM('03'!E4)/1000</f>
        <v>102.515</v>
      </c>
      <c r="E29" s="289">
        <f>SUM('03'!E5)/1000</f>
        <v>1842.2721299999998</v>
      </c>
      <c r="F29" s="289">
        <f>SUM('03'!E6)/1000</f>
        <v>158.21165999999999</v>
      </c>
      <c r="G29" s="289">
        <f>SUM('03'!E20)/1000</f>
        <v>2770.8203199999998</v>
      </c>
      <c r="H29" s="289">
        <f>SUM('03'!E22)/1000</f>
        <v>2826.6846</v>
      </c>
      <c r="I29" s="289">
        <f>SUM('03'!E15)/1000</f>
        <v>375.5</v>
      </c>
      <c r="J29" s="10">
        <v>3</v>
      </c>
      <c r="K29" s="16">
        <v>1803</v>
      </c>
      <c r="L29" s="6">
        <f t="shared" si="7"/>
        <v>14942.120753768842</v>
      </c>
      <c r="M29" s="6">
        <f t="shared" si="7"/>
        <v>10251.5</v>
      </c>
      <c r="N29" s="6">
        <f t="shared" si="7"/>
        <v>7773.3001265822777</v>
      </c>
      <c r="O29" s="6">
        <f t="shared" si="7"/>
        <v>17579.073333333334</v>
      </c>
      <c r="P29" s="6">
        <f t="shared" si="7"/>
        <v>24094.089739130432</v>
      </c>
      <c r="Q29" s="6">
        <f t="shared" si="7"/>
        <v>40966.443478260873</v>
      </c>
      <c r="R29" s="6">
        <f t="shared" si="7"/>
        <v>11734.375</v>
      </c>
      <c r="T29" s="16">
        <v>1803</v>
      </c>
      <c r="U29" s="5">
        <f t="shared" si="8"/>
        <v>78.968253968253961</v>
      </c>
      <c r="V29" s="5">
        <f t="shared" si="9"/>
        <v>52.631578947368418</v>
      </c>
      <c r="W29" s="5">
        <f t="shared" si="10"/>
        <v>98.75</v>
      </c>
      <c r="X29" s="5">
        <f t="shared" si="11"/>
        <v>75</v>
      </c>
      <c r="Y29" s="5">
        <f t="shared" si="12"/>
        <v>100</v>
      </c>
      <c r="Z29" s="5">
        <f t="shared" si="13"/>
        <v>97.183098591549296</v>
      </c>
      <c r="AA29" s="5">
        <f t="shared" si="13"/>
        <v>91.428571428571431</v>
      </c>
      <c r="AD29" s="26"/>
      <c r="AE29" s="560"/>
      <c r="AF29" s="560"/>
      <c r="AG29" s="26"/>
      <c r="AH29" s="560"/>
      <c r="AI29" s="561"/>
      <c r="AJ29" s="26"/>
      <c r="AK29" s="26"/>
    </row>
    <row r="30" spans="1:37" x14ac:dyDescent="0.25">
      <c r="B30" s="16">
        <v>1804</v>
      </c>
      <c r="C30" s="289">
        <f>SUM('04'!E3)/1000</f>
        <v>4468.8794200000002</v>
      </c>
      <c r="D30" s="289">
        <f>SUM('04'!E4)/1000</f>
        <v>521.92399999999998</v>
      </c>
      <c r="E30" s="289">
        <f>SUM('04'!E5)/1000</f>
        <v>2589.4785400000001</v>
      </c>
      <c r="F30" s="289">
        <f>SUM('04'!E6)/1000</f>
        <v>4868.2308600000006</v>
      </c>
      <c r="G30" s="289">
        <f>SUM('04'!E20)/1000</f>
        <v>3689.96731</v>
      </c>
      <c r="H30" s="289">
        <f>SUM('04'!E22)/1000</f>
        <v>5068.1867999999995</v>
      </c>
      <c r="I30" s="289">
        <f>SUM('04'!E15)/1000</f>
        <v>633.45278000000008</v>
      </c>
      <c r="J30" s="10">
        <v>4</v>
      </c>
      <c r="K30" s="16">
        <v>1804</v>
      </c>
      <c r="L30" s="6">
        <f t="shared" si="7"/>
        <v>13379.878502994012</v>
      </c>
      <c r="M30" s="6">
        <f t="shared" si="7"/>
        <v>10438.48</v>
      </c>
      <c r="N30" s="6">
        <f t="shared" si="7"/>
        <v>9845.926007604563</v>
      </c>
      <c r="O30" s="6">
        <f t="shared" si="7"/>
        <v>18301.619774436091</v>
      </c>
      <c r="P30" s="6">
        <f t="shared" si="7"/>
        <v>31538.182136752137</v>
      </c>
      <c r="Q30" s="6">
        <f t="shared" si="7"/>
        <v>45659.340540540536</v>
      </c>
      <c r="R30" s="6">
        <f t="shared" si="7"/>
        <v>13770.712608695652</v>
      </c>
      <c r="T30" s="16">
        <v>1804</v>
      </c>
      <c r="U30" s="5">
        <f t="shared" si="8"/>
        <v>86.52849740932642</v>
      </c>
      <c r="V30" s="5">
        <f t="shared" si="9"/>
        <v>66.666666666666657</v>
      </c>
      <c r="W30" s="5">
        <f t="shared" si="10"/>
        <v>97.407407407407405</v>
      </c>
      <c r="X30" s="5">
        <f t="shared" si="11"/>
        <v>99.625468164794</v>
      </c>
      <c r="Y30" s="5">
        <f t="shared" si="12"/>
        <v>100</v>
      </c>
      <c r="Z30" s="5">
        <f t="shared" si="13"/>
        <v>99.107142857142861</v>
      </c>
      <c r="AA30" s="5">
        <f t="shared" si="13"/>
        <v>80.701754385964904</v>
      </c>
      <c r="AD30" s="7">
        <v>1</v>
      </c>
      <c r="AE30" s="17" t="s">
        <v>1</v>
      </c>
      <c r="AF30" s="560"/>
      <c r="AG30" s="26"/>
      <c r="AH30" s="560"/>
      <c r="AI30" s="561"/>
      <c r="AJ30" s="26"/>
      <c r="AK30" s="26"/>
    </row>
    <row r="31" spans="1:37" x14ac:dyDescent="0.25">
      <c r="B31" s="16">
        <v>1805</v>
      </c>
      <c r="C31" s="289">
        <f>SUM('05'!E3)/1000</f>
        <v>3999.7861899999998</v>
      </c>
      <c r="D31" s="289">
        <f>SUM('05'!E4)/1000</f>
        <v>358.21397999999999</v>
      </c>
      <c r="E31" s="289">
        <f>SUM('05'!E5)/1000</f>
        <v>1431.9088400000001</v>
      </c>
      <c r="F31" s="289">
        <f>SUM('05'!E6)/1000</f>
        <v>1017.64941</v>
      </c>
      <c r="G31" s="289">
        <f>SUM('05'!E20)/1000</f>
        <v>4636.0210499999994</v>
      </c>
      <c r="H31" s="289">
        <f>SUM('05'!E22)/1000</f>
        <v>8540.6641600000003</v>
      </c>
      <c r="I31" s="289">
        <f>SUM('05'!E15)/1000</f>
        <v>458.7</v>
      </c>
      <c r="J31" s="10">
        <v>5</v>
      </c>
      <c r="K31" s="16">
        <v>1805</v>
      </c>
      <c r="L31" s="6">
        <f t="shared" si="7"/>
        <v>12778.869616613418</v>
      </c>
      <c r="M31" s="6">
        <f t="shared" si="7"/>
        <v>11194.186874999999</v>
      </c>
      <c r="N31" s="6">
        <f t="shared" si="7"/>
        <v>9807.594794520548</v>
      </c>
      <c r="O31" s="6">
        <f t="shared" si="7"/>
        <v>14134.019583333335</v>
      </c>
      <c r="P31" s="6">
        <f t="shared" si="7"/>
        <v>25059.573243243241</v>
      </c>
      <c r="Q31" s="6">
        <f t="shared" si="7"/>
        <v>82121.770769230774</v>
      </c>
      <c r="R31" s="6">
        <f t="shared" si="7"/>
        <v>16382.142857142857</v>
      </c>
      <c r="T31" s="16">
        <v>1805</v>
      </c>
      <c r="U31" s="5">
        <f t="shared" si="8"/>
        <v>91.520467836257311</v>
      </c>
      <c r="V31" s="5">
        <f t="shared" si="9"/>
        <v>34.782608695652172</v>
      </c>
      <c r="W31" s="5">
        <f t="shared" si="10"/>
        <v>93.589743589743591</v>
      </c>
      <c r="X31" s="5">
        <f t="shared" si="11"/>
        <v>100</v>
      </c>
      <c r="Y31" s="5">
        <f t="shared" si="12"/>
        <v>97.883597883597886</v>
      </c>
      <c r="Z31" s="5">
        <f t="shared" si="13"/>
        <v>84.552845528455293</v>
      </c>
      <c r="AA31" s="5">
        <f t="shared" si="13"/>
        <v>93.333333333333329</v>
      </c>
      <c r="AD31" s="7">
        <v>2</v>
      </c>
      <c r="AE31" s="17" t="s">
        <v>2</v>
      </c>
      <c r="AF31" s="560"/>
      <c r="AG31" s="26"/>
      <c r="AH31" s="560"/>
      <c r="AI31" s="561"/>
      <c r="AJ31" s="26"/>
      <c r="AK31" s="26"/>
    </row>
    <row r="32" spans="1:37" x14ac:dyDescent="0.25">
      <c r="B32" s="16">
        <v>1806</v>
      </c>
      <c r="C32" s="289">
        <f>SUM('06'!E3)/1000</f>
        <v>3143.1752499999998</v>
      </c>
      <c r="D32" s="289">
        <f>SUM('06'!E4)/1000</f>
        <v>265.60649999999998</v>
      </c>
      <c r="E32" s="289">
        <f>SUM('06'!E5)/1000</f>
        <v>594.72660999999994</v>
      </c>
      <c r="F32" s="289">
        <f>SUM('06'!E6)/1000</f>
        <v>277.57231000000002</v>
      </c>
      <c r="G32" s="289">
        <f>SUM('06'!E20)/1000</f>
        <v>1796.7929999999999</v>
      </c>
      <c r="H32" s="289">
        <f>SUM('06'!E22)/1000</f>
        <v>2050.1772000000001</v>
      </c>
      <c r="I32" s="289">
        <f>SUM('06'!E15)/1000</f>
        <v>60</v>
      </c>
      <c r="J32" s="10">
        <v>6</v>
      </c>
      <c r="K32" s="16">
        <v>1806</v>
      </c>
      <c r="L32" s="6">
        <f t="shared" si="7"/>
        <v>11641.389814814815</v>
      </c>
      <c r="M32" s="6">
        <f t="shared" si="7"/>
        <v>9158.8448275862065</v>
      </c>
      <c r="N32" s="6">
        <f t="shared" si="7"/>
        <v>5263.067345132743</v>
      </c>
      <c r="O32" s="6">
        <f t="shared" si="7"/>
        <v>18504.820666666667</v>
      </c>
      <c r="P32" s="6">
        <f t="shared" si="7"/>
        <v>29455.622950819674</v>
      </c>
      <c r="Q32" s="6">
        <f t="shared" si="7"/>
        <v>50004.321951219514</v>
      </c>
      <c r="R32" s="6">
        <f t="shared" si="7"/>
        <v>15000</v>
      </c>
      <c r="T32" s="16">
        <v>1806</v>
      </c>
      <c r="U32" s="5">
        <f t="shared" si="8"/>
        <v>88.81578947368422</v>
      </c>
      <c r="V32" s="5">
        <f t="shared" si="9"/>
        <v>82.857142857142861</v>
      </c>
      <c r="W32" s="5">
        <f t="shared" si="10"/>
        <v>98.260869565217391</v>
      </c>
      <c r="X32" s="5">
        <f t="shared" si="11"/>
        <v>100</v>
      </c>
      <c r="Y32" s="5">
        <f t="shared" si="12"/>
        <v>98.387096774193552</v>
      </c>
      <c r="Z32" s="5">
        <f t="shared" si="13"/>
        <v>95.348837209302332</v>
      </c>
      <c r="AA32" s="5">
        <f t="shared" si="13"/>
        <v>100</v>
      </c>
      <c r="AD32" s="7">
        <v>3</v>
      </c>
      <c r="AE32" s="17" t="s">
        <v>3</v>
      </c>
      <c r="AF32" s="560"/>
      <c r="AI32" s="561"/>
      <c r="AJ32" s="26"/>
      <c r="AK32" s="26"/>
    </row>
    <row r="33" spans="2:37" x14ac:dyDescent="0.25">
      <c r="B33" s="214" t="s">
        <v>275</v>
      </c>
      <c r="C33" s="289">
        <f>SUM('07'!E3)/1000</f>
        <v>2498.20982</v>
      </c>
      <c r="D33" s="289">
        <f>SUM('07'!E4)/1000</f>
        <v>206.88912999999999</v>
      </c>
      <c r="E33" s="289">
        <f>SUM('07'!E5)/1000</f>
        <v>346.88303999999999</v>
      </c>
      <c r="F33" s="289">
        <f>SUM('07'!E6)/1000</f>
        <v>215.76219</v>
      </c>
      <c r="G33" s="289">
        <f>SUM('07'!E20)/1000</f>
        <v>2535.2749900000003</v>
      </c>
      <c r="H33" s="289">
        <f>SUM('07'!E22)/1000</f>
        <v>3198.9229700000001</v>
      </c>
      <c r="I33" s="289">
        <f>SUM('07'!E15)/1000</f>
        <v>329</v>
      </c>
      <c r="J33" s="10">
        <v>7</v>
      </c>
      <c r="K33" s="214" t="s">
        <v>275</v>
      </c>
      <c r="L33" s="6">
        <f t="shared" si="7"/>
        <v>12553.818190954773</v>
      </c>
      <c r="M33" s="6">
        <f t="shared" si="7"/>
        <v>8620.3804166666669</v>
      </c>
      <c r="N33" s="6">
        <f t="shared" si="7"/>
        <v>6423.7599999999993</v>
      </c>
      <c r="O33" s="6">
        <f t="shared" si="7"/>
        <v>7991.192222222222</v>
      </c>
      <c r="P33" s="6">
        <f t="shared" si="7"/>
        <v>23694.158785046729</v>
      </c>
      <c r="Q33" s="6">
        <f t="shared" si="7"/>
        <v>54219.033389830511</v>
      </c>
      <c r="R33" s="6">
        <f t="shared" si="7"/>
        <v>8435.8974358974356</v>
      </c>
      <c r="T33" s="214" t="s">
        <v>275</v>
      </c>
      <c r="U33" s="5">
        <f t="shared" si="8"/>
        <v>82.916666666666671</v>
      </c>
      <c r="V33" s="5">
        <f t="shared" si="9"/>
        <v>45.283018867924532</v>
      </c>
      <c r="W33" s="5">
        <f t="shared" si="10"/>
        <v>96.428571428571431</v>
      </c>
      <c r="X33" s="5">
        <f t="shared" si="11"/>
        <v>96.428571428571431</v>
      </c>
      <c r="Y33" s="5">
        <f t="shared" si="12"/>
        <v>98.165137614678898</v>
      </c>
      <c r="Z33" s="5">
        <f t="shared" si="13"/>
        <v>88.059701492537314</v>
      </c>
      <c r="AA33" s="5">
        <f t="shared" si="13"/>
        <v>97.5</v>
      </c>
      <c r="AD33" s="7">
        <v>4</v>
      </c>
      <c r="AE33" s="17" t="s">
        <v>4</v>
      </c>
      <c r="AF33" s="560"/>
      <c r="AI33" s="561"/>
      <c r="AJ33" s="26"/>
      <c r="AK33" s="26"/>
    </row>
    <row r="34" spans="2:37" x14ac:dyDescent="0.25">
      <c r="B34" s="214"/>
      <c r="C34" s="290"/>
      <c r="D34" s="290"/>
      <c r="E34" s="290"/>
      <c r="F34" s="290"/>
      <c r="G34" s="290"/>
      <c r="H34" s="290"/>
      <c r="I34" s="290"/>
      <c r="K34" s="214"/>
      <c r="L34" s="216"/>
      <c r="M34" s="216"/>
      <c r="N34" s="216"/>
      <c r="O34" s="216"/>
      <c r="P34" s="216"/>
      <c r="Q34" s="216"/>
      <c r="R34" s="216"/>
      <c r="T34" s="214"/>
      <c r="U34" s="261"/>
      <c r="V34" s="261"/>
      <c r="W34" s="261"/>
      <c r="X34" s="261"/>
      <c r="Y34" s="261"/>
      <c r="Z34" s="261"/>
      <c r="AA34" s="261"/>
      <c r="AD34" s="7">
        <v>5</v>
      </c>
      <c r="AE34" s="17" t="s">
        <v>16</v>
      </c>
      <c r="AF34" s="560"/>
      <c r="AI34" s="561"/>
      <c r="AJ34" s="26"/>
      <c r="AK34" s="26"/>
    </row>
    <row r="35" spans="2:37" x14ac:dyDescent="0.25">
      <c r="B35" s="16">
        <v>1808</v>
      </c>
      <c r="C35" s="289">
        <f>SUM('08'!E3)/1000</f>
        <v>5918.9887699999999</v>
      </c>
      <c r="D35" s="289">
        <f>SUM('08'!E4)/1000</f>
        <v>419.71409</v>
      </c>
      <c r="E35" s="289">
        <f>SUM('08'!E5)/1000</f>
        <v>391.53459999999995</v>
      </c>
      <c r="F35" s="289">
        <f>SUM('08'!E6)/1000</f>
        <v>1876.5453500000001</v>
      </c>
      <c r="G35" s="289">
        <f>SUM('08'!E20)/1000</f>
        <v>3119.6010000000001</v>
      </c>
      <c r="H35" s="434">
        <f>SUM('08'!E22)/1000</f>
        <v>3088.1618800000001</v>
      </c>
      <c r="I35" s="289">
        <f>SUM('08'!E15)/1000</f>
        <v>351</v>
      </c>
      <c r="J35" s="10">
        <v>8</v>
      </c>
      <c r="K35" s="16">
        <v>1808</v>
      </c>
      <c r="L35" s="6">
        <f t="shared" ref="L35:R41" si="14">AD10/U10</f>
        <v>12980.238530701754</v>
      </c>
      <c r="M35" s="6">
        <f t="shared" si="14"/>
        <v>11343.624054054055</v>
      </c>
      <c r="N35" s="6">
        <f t="shared" si="14"/>
        <v>9549.6243902439019</v>
      </c>
      <c r="O35" s="6">
        <f t="shared" si="14"/>
        <v>13031.564930555556</v>
      </c>
      <c r="P35" s="6">
        <f t="shared" si="14"/>
        <v>28104.513513513513</v>
      </c>
      <c r="Q35" s="431">
        <f t="shared" si="14"/>
        <v>110291.49571428572</v>
      </c>
      <c r="R35" s="6">
        <f t="shared" si="14"/>
        <v>10323.529411764706</v>
      </c>
      <c r="T35" s="16">
        <v>1808</v>
      </c>
      <c r="U35" s="5">
        <f t="shared" ref="U35:AA41" si="15">SUM(U10/L10)*100</f>
        <v>91.017964071856284</v>
      </c>
      <c r="V35" s="5">
        <f t="shared" si="15"/>
        <v>39.784946236559136</v>
      </c>
      <c r="W35" s="5">
        <f t="shared" si="15"/>
        <v>93.181818181818173</v>
      </c>
      <c r="X35" s="5">
        <f t="shared" si="15"/>
        <v>94.73684210526315</v>
      </c>
      <c r="Y35" s="5">
        <f t="shared" si="15"/>
        <v>95.689655172413794</v>
      </c>
      <c r="Z35" s="5">
        <f t="shared" si="15"/>
        <v>80</v>
      </c>
      <c r="AA35" s="5">
        <f t="shared" si="15"/>
        <v>97.142857142857139</v>
      </c>
      <c r="AD35" s="7">
        <v>6</v>
      </c>
      <c r="AE35" s="17" t="s">
        <v>17</v>
      </c>
      <c r="AF35" s="26"/>
      <c r="AI35" s="561"/>
      <c r="AJ35" s="26"/>
      <c r="AK35" s="26"/>
    </row>
    <row r="36" spans="2:37" x14ac:dyDescent="0.25">
      <c r="B36" s="16">
        <v>1809</v>
      </c>
      <c r="C36" s="289">
        <f>SUM('09'!E3)/1000</f>
        <v>3505.7144600000001</v>
      </c>
      <c r="D36" s="289">
        <f>SUM('09'!E4)/1000</f>
        <v>43.895960000000002</v>
      </c>
      <c r="E36" s="289">
        <f>SUM('09'!E5)/1000</f>
        <v>1452.2131999999999</v>
      </c>
      <c r="F36" s="289">
        <f>SUM('09'!E6)/1000</f>
        <v>441.35009000000002</v>
      </c>
      <c r="G36" s="289">
        <f>SUM('09'!E20)/1000</f>
        <v>1623.3117099999999</v>
      </c>
      <c r="H36" s="291">
        <f>SUM('09'!E22)/1000</f>
        <v>210</v>
      </c>
      <c r="I36" s="289">
        <f>SUM('09'!E15)/1000</f>
        <v>838.48888999999997</v>
      </c>
      <c r="J36" s="10">
        <v>9</v>
      </c>
      <c r="K36" s="16">
        <v>1809</v>
      </c>
      <c r="L36" s="6">
        <f t="shared" si="14"/>
        <v>12888.656102941177</v>
      </c>
      <c r="M36" s="6">
        <f t="shared" si="14"/>
        <v>10973.99</v>
      </c>
      <c r="N36" s="6">
        <f t="shared" si="14"/>
        <v>9369.1174193548377</v>
      </c>
      <c r="O36" s="6">
        <f t="shared" si="14"/>
        <v>16346.299629629631</v>
      </c>
      <c r="P36" s="6">
        <f t="shared" si="14"/>
        <v>27988.132931034481</v>
      </c>
      <c r="Q36" s="431" t="e">
        <f t="shared" si="14"/>
        <v>#DIV/0!</v>
      </c>
      <c r="R36" s="6">
        <f t="shared" si="14"/>
        <v>9749.8708139534883</v>
      </c>
      <c r="T36" s="16">
        <v>1809</v>
      </c>
      <c r="U36" s="5">
        <f t="shared" si="15"/>
        <v>86.075949367088612</v>
      </c>
      <c r="V36" s="5">
        <f t="shared" si="15"/>
        <v>50</v>
      </c>
      <c r="W36" s="5">
        <f t="shared" si="15"/>
        <v>98.101265822784811</v>
      </c>
      <c r="X36" s="5">
        <f t="shared" si="15"/>
        <v>100</v>
      </c>
      <c r="Y36" s="5">
        <f t="shared" si="15"/>
        <v>84.05797101449275</v>
      </c>
      <c r="Z36" s="435" t="e">
        <f>SUM(Z11/Q11)*100</f>
        <v>#DIV/0!</v>
      </c>
      <c r="AA36" s="5">
        <f t="shared" si="15"/>
        <v>89.583333333333343</v>
      </c>
      <c r="AD36" s="7">
        <v>7</v>
      </c>
      <c r="AE36" s="17" t="s">
        <v>11</v>
      </c>
      <c r="AF36" s="560"/>
      <c r="AI36" s="561"/>
      <c r="AJ36" s="26"/>
      <c r="AK36" s="26"/>
    </row>
    <row r="37" spans="2:37" x14ac:dyDescent="0.25">
      <c r="B37" s="16">
        <v>1810</v>
      </c>
      <c r="C37" s="289">
        <f>SUM('10'!E3)/1000</f>
        <v>4178.7770899999996</v>
      </c>
      <c r="D37" s="289">
        <f>SUM('10'!E4)/1000</f>
        <v>290.01114000000001</v>
      </c>
      <c r="E37" s="289">
        <f>SUM('10'!E5)/1000</f>
        <v>1243.80214</v>
      </c>
      <c r="F37" s="289">
        <f>SUM('10'!E6)/1000</f>
        <v>2155.3672099999999</v>
      </c>
      <c r="G37" s="289">
        <f>SUM('10'!E20)/1000</f>
        <v>3234.7</v>
      </c>
      <c r="H37" s="289">
        <f>SUM('10'!E22)/1000</f>
        <v>3015</v>
      </c>
      <c r="I37" s="289">
        <f>SUM('10'!E15)/1000</f>
        <v>399</v>
      </c>
      <c r="J37" s="10">
        <v>10</v>
      </c>
      <c r="K37" s="16">
        <v>1810</v>
      </c>
      <c r="L37" s="6">
        <f t="shared" si="14"/>
        <v>15085.837870036099</v>
      </c>
      <c r="M37" s="6">
        <f t="shared" si="14"/>
        <v>12609.18</v>
      </c>
      <c r="N37" s="6">
        <f t="shared" si="14"/>
        <v>8129.4257516339867</v>
      </c>
      <c r="O37" s="6">
        <f t="shared" si="14"/>
        <v>17523.310650406504</v>
      </c>
      <c r="P37" s="6">
        <f t="shared" si="14"/>
        <v>31102.884615384617</v>
      </c>
      <c r="Q37" s="6">
        <f t="shared" si="14"/>
        <v>37687.5</v>
      </c>
      <c r="R37" s="6">
        <f t="shared" si="14"/>
        <v>8489.3617021276605</v>
      </c>
      <c r="T37" s="16">
        <v>1810</v>
      </c>
      <c r="U37" s="5">
        <f t="shared" si="15"/>
        <v>86.5625</v>
      </c>
      <c r="V37" s="5">
        <f t="shared" si="15"/>
        <v>24.731182795698924</v>
      </c>
      <c r="W37" s="5">
        <f t="shared" si="15"/>
        <v>99.350649350649363</v>
      </c>
      <c r="X37" s="5">
        <f t="shared" si="15"/>
        <v>97.61904761904762</v>
      </c>
      <c r="Y37" s="5">
        <f t="shared" si="15"/>
        <v>100</v>
      </c>
      <c r="Z37" s="5">
        <f t="shared" si="15"/>
        <v>100</v>
      </c>
      <c r="AA37" s="5">
        <f t="shared" si="15"/>
        <v>95.918367346938766</v>
      </c>
      <c r="AF37" s="560"/>
      <c r="AI37" s="561"/>
      <c r="AJ37" s="26"/>
      <c r="AK37" s="26"/>
    </row>
    <row r="38" spans="2:37" x14ac:dyDescent="0.25">
      <c r="B38" s="16">
        <v>1811</v>
      </c>
      <c r="C38" s="289">
        <f>SUM('11'!E3)/1000</f>
        <v>4946.91518</v>
      </c>
      <c r="D38" s="289">
        <f>SUM('11'!E4)/1000</f>
        <v>41.266330000000004</v>
      </c>
      <c r="E38" s="289">
        <f>SUM('11'!E5)/1000</f>
        <v>1598.7526799999998</v>
      </c>
      <c r="F38" s="289">
        <f>SUM('11'!E6)/1000</f>
        <v>728.18029000000001</v>
      </c>
      <c r="G38" s="289">
        <f>SUM('11'!E20)/1000</f>
        <v>2230.4085700000001</v>
      </c>
      <c r="H38" s="289">
        <f>SUM('11'!E22)/1000</f>
        <v>4479.4839199999997</v>
      </c>
      <c r="I38" s="289">
        <f>SUM('11'!E15)/1000</f>
        <v>192</v>
      </c>
      <c r="J38" s="10">
        <v>11</v>
      </c>
      <c r="K38" s="16">
        <v>1811</v>
      </c>
      <c r="L38" s="6">
        <f t="shared" si="14"/>
        <v>8961.8028623188402</v>
      </c>
      <c r="M38" s="6">
        <f t="shared" si="14"/>
        <v>4585.1477777777782</v>
      </c>
      <c r="N38" s="6">
        <f t="shared" si="14"/>
        <v>7577.0269194312796</v>
      </c>
      <c r="O38" s="6">
        <f t="shared" si="14"/>
        <v>11377.817031250001</v>
      </c>
      <c r="P38" s="6">
        <f t="shared" si="14"/>
        <v>20844.939906542055</v>
      </c>
      <c r="Q38" s="6">
        <f t="shared" si="14"/>
        <v>38286.187350427346</v>
      </c>
      <c r="R38" s="6">
        <f t="shared" si="14"/>
        <v>8000</v>
      </c>
      <c r="T38" s="16">
        <v>1811</v>
      </c>
      <c r="U38" s="5">
        <f t="shared" si="15"/>
        <v>87.341772151898738</v>
      </c>
      <c r="V38" s="5">
        <f t="shared" si="15"/>
        <v>69.230769230769226</v>
      </c>
      <c r="W38" s="5">
        <f t="shared" si="15"/>
        <v>84.063745019920319</v>
      </c>
      <c r="X38" s="5">
        <f t="shared" si="15"/>
        <v>98.461538461538467</v>
      </c>
      <c r="Y38" s="5">
        <f t="shared" si="15"/>
        <v>98.165137614678898</v>
      </c>
      <c r="Z38" s="5">
        <f t="shared" si="15"/>
        <v>86.666666666666671</v>
      </c>
      <c r="AA38" s="5">
        <f t="shared" si="15"/>
        <v>100</v>
      </c>
      <c r="AD38" s="7" t="s">
        <v>158</v>
      </c>
      <c r="AE38" s="18">
        <f>SUM(C24:H24)</f>
        <v>24415</v>
      </c>
      <c r="AF38" s="560"/>
      <c r="AI38" s="561"/>
      <c r="AJ38" s="26"/>
      <c r="AK38" s="26"/>
    </row>
    <row r="39" spans="2:37" x14ac:dyDescent="0.25">
      <c r="B39" s="16">
        <v>1812</v>
      </c>
      <c r="C39" s="289">
        <f>SUM('12'!E3)/1000</f>
        <v>4560.6740399999999</v>
      </c>
      <c r="D39" s="289">
        <f>SUM('12'!E4)/1000</f>
        <v>401.39635999999996</v>
      </c>
      <c r="E39" s="289">
        <f>SUM('12'!E5)/1000</f>
        <v>2502.8063900000002</v>
      </c>
      <c r="F39" s="289">
        <f>SUM('12'!E6)/1000</f>
        <v>1135.05693</v>
      </c>
      <c r="G39" s="289">
        <f>SUM('12'!E20)/1000</f>
        <v>3645</v>
      </c>
      <c r="H39" s="289">
        <f>SUM('12'!E22)/1000</f>
        <v>2283.5294100000001</v>
      </c>
      <c r="I39" s="289">
        <f>SUM('12'!E15)/1000</f>
        <v>891</v>
      </c>
      <c r="J39" s="10">
        <v>12</v>
      </c>
      <c r="K39" s="16">
        <v>1812</v>
      </c>
      <c r="L39" s="6">
        <f t="shared" si="14"/>
        <v>14570.84357827476</v>
      </c>
      <c r="M39" s="6">
        <f t="shared" si="14"/>
        <v>15438.321538461538</v>
      </c>
      <c r="N39" s="6">
        <f t="shared" si="14"/>
        <v>8099.6970550161814</v>
      </c>
      <c r="O39" s="6">
        <f t="shared" si="14"/>
        <v>21828.017884615383</v>
      </c>
      <c r="P39" s="6">
        <f t="shared" si="14"/>
        <v>25669.014084507042</v>
      </c>
      <c r="Q39" s="6">
        <f t="shared" si="14"/>
        <v>65243.697428571431</v>
      </c>
      <c r="R39" s="6">
        <f t="shared" si="14"/>
        <v>14850</v>
      </c>
      <c r="T39" s="16">
        <v>1812</v>
      </c>
      <c r="U39" s="5">
        <f t="shared" si="15"/>
        <v>75.786924939467312</v>
      </c>
      <c r="V39" s="5">
        <f t="shared" si="15"/>
        <v>37.681159420289859</v>
      </c>
      <c r="W39" s="5">
        <f t="shared" si="15"/>
        <v>86.797752808988761</v>
      </c>
      <c r="X39" s="5">
        <f t="shared" si="15"/>
        <v>72.222222222222214</v>
      </c>
      <c r="Y39" s="5">
        <f t="shared" si="15"/>
        <v>92.20779220779221</v>
      </c>
      <c r="Z39" s="5">
        <f t="shared" si="15"/>
        <v>81.395348837209298</v>
      </c>
      <c r="AA39" s="5">
        <f t="shared" si="15"/>
        <v>88.235294117647058</v>
      </c>
      <c r="AD39" s="7" t="s">
        <v>159</v>
      </c>
      <c r="AE39" s="18">
        <f>SUM(L24:Q24)</f>
        <v>18116</v>
      </c>
      <c r="AF39" s="560"/>
      <c r="AI39" s="561"/>
      <c r="AJ39" s="26"/>
      <c r="AK39" s="26"/>
    </row>
    <row r="40" spans="2:37" x14ac:dyDescent="0.25">
      <c r="B40" s="16">
        <v>1814</v>
      </c>
      <c r="C40" s="289">
        <f>SUM('14'!E3)/1000</f>
        <v>6852.4884099999999</v>
      </c>
      <c r="D40" s="289">
        <f>SUM('14'!E4)/1000</f>
        <v>242.67345</v>
      </c>
      <c r="E40" s="289">
        <f>SUM('14'!E5)/1000</f>
        <v>2588.38877</v>
      </c>
      <c r="F40" s="289">
        <f>SUM('14'!E6)/1000</f>
        <v>3167.5281500000001</v>
      </c>
      <c r="G40" s="289">
        <f>SUM('14'!E20)/1000</f>
        <v>2344.6088300000001</v>
      </c>
      <c r="H40" s="289">
        <f>SUM('14'!E22)/1000</f>
        <v>1773.85663</v>
      </c>
      <c r="I40" s="289">
        <f>SUM('14'!E15)/1000</f>
        <v>209</v>
      </c>
      <c r="J40" s="10">
        <v>13</v>
      </c>
      <c r="K40" s="16">
        <v>1814</v>
      </c>
      <c r="L40" s="6">
        <f t="shared" si="14"/>
        <v>15573.837295454547</v>
      </c>
      <c r="M40" s="6">
        <f t="shared" si="14"/>
        <v>8368.0500000000011</v>
      </c>
      <c r="N40" s="6">
        <f t="shared" si="14"/>
        <v>9730.7848496240604</v>
      </c>
      <c r="O40" s="6">
        <f t="shared" si="14"/>
        <v>22787.972302158272</v>
      </c>
      <c r="P40" s="6">
        <f t="shared" si="14"/>
        <v>33022.659577464787</v>
      </c>
      <c r="Q40" s="6">
        <f t="shared" si="14"/>
        <v>41252.479767441859</v>
      </c>
      <c r="R40" s="6">
        <f t="shared" si="14"/>
        <v>9086.95652173913</v>
      </c>
      <c r="T40" s="16">
        <v>1814</v>
      </c>
      <c r="U40" s="5">
        <f t="shared" si="15"/>
        <v>78.01418439716312</v>
      </c>
      <c r="V40" s="5">
        <f t="shared" si="15"/>
        <v>56.862745098039213</v>
      </c>
      <c r="W40" s="5">
        <f t="shared" si="15"/>
        <v>89.562289562289564</v>
      </c>
      <c r="X40" s="5">
        <f t="shared" si="15"/>
        <v>88.535031847133766</v>
      </c>
      <c r="Y40" s="5">
        <f t="shared" si="15"/>
        <v>91.025641025641022</v>
      </c>
      <c r="Z40" s="5">
        <f t="shared" si="15"/>
        <v>76.785714285714292</v>
      </c>
      <c r="AA40" s="5">
        <f t="shared" si="15"/>
        <v>82.142857142857139</v>
      </c>
      <c r="AD40" s="17" t="s">
        <v>160</v>
      </c>
      <c r="AE40" s="18">
        <f>SUM(U24:Z24)</f>
        <v>15697</v>
      </c>
      <c r="AF40" s="560"/>
      <c r="AG40" s="26"/>
      <c r="AH40" s="560"/>
      <c r="AI40" s="561"/>
      <c r="AJ40" s="26"/>
      <c r="AK40" s="26"/>
    </row>
    <row r="41" spans="2:37" x14ac:dyDescent="0.25">
      <c r="B41" s="16">
        <v>1815</v>
      </c>
      <c r="C41" s="289">
        <f>SUM('15'!E3)/1000</f>
        <v>3177.3339700000001</v>
      </c>
      <c r="D41" s="289">
        <f>SUM('15'!E4)/1000</f>
        <v>138.73693</v>
      </c>
      <c r="E41" s="289">
        <f>SUM('15'!E5)/1000</f>
        <v>1128.1603700000001</v>
      </c>
      <c r="F41" s="289">
        <f>SUM('15'!E6)/1000</f>
        <v>1339.27918</v>
      </c>
      <c r="G41" s="289">
        <f>SUM('15'!E20)/1000</f>
        <v>3407.4988199999998</v>
      </c>
      <c r="H41" s="289">
        <f>SUM('15'!E22)/1000</f>
        <v>2982.0809599999998</v>
      </c>
      <c r="I41" s="289">
        <f>SUM('15'!E15)/1000</f>
        <v>106</v>
      </c>
      <c r="J41" s="10">
        <v>14</v>
      </c>
      <c r="K41" s="16">
        <v>1815</v>
      </c>
      <c r="L41" s="6">
        <f t="shared" si="14"/>
        <v>12915.99174796748</v>
      </c>
      <c r="M41" s="6">
        <f t="shared" si="14"/>
        <v>8160.9958823529405</v>
      </c>
      <c r="N41" s="6">
        <f t="shared" si="14"/>
        <v>10445.929351851853</v>
      </c>
      <c r="O41" s="6">
        <f t="shared" si="14"/>
        <v>20292.108787878788</v>
      </c>
      <c r="P41" s="6">
        <f t="shared" si="14"/>
        <v>29123.921538461538</v>
      </c>
      <c r="Q41" s="6">
        <f t="shared" si="14"/>
        <v>40850.424109589039</v>
      </c>
      <c r="R41" s="6">
        <f t="shared" si="14"/>
        <v>5888.8888888888887</v>
      </c>
      <c r="T41" s="16">
        <v>1815</v>
      </c>
      <c r="U41" s="5">
        <f t="shared" si="15"/>
        <v>80.392156862745097</v>
      </c>
      <c r="V41" s="5">
        <f t="shared" si="15"/>
        <v>77.272727272727266</v>
      </c>
      <c r="W41" s="5">
        <f t="shared" si="15"/>
        <v>81.818181818181827</v>
      </c>
      <c r="X41" s="5">
        <f t="shared" si="15"/>
        <v>92.957746478873233</v>
      </c>
      <c r="Y41" s="5">
        <f t="shared" si="15"/>
        <v>92.125984251968504</v>
      </c>
      <c r="Z41" s="5">
        <f t="shared" si="15"/>
        <v>82.022471910112358</v>
      </c>
      <c r="AA41" s="5">
        <f t="shared" si="15"/>
        <v>85.714285714285708</v>
      </c>
      <c r="AD41" s="17" t="s">
        <v>161</v>
      </c>
      <c r="AE41" s="42">
        <f>SUM(C50:H50)</f>
        <v>276339.48751000001</v>
      </c>
      <c r="AF41" s="560"/>
      <c r="AI41" s="561"/>
      <c r="AJ41" s="26"/>
      <c r="AK41" s="26"/>
    </row>
    <row r="42" spans="2:37" x14ac:dyDescent="0.25">
      <c r="B42" s="214"/>
      <c r="C42" s="290"/>
      <c r="D42" s="290"/>
      <c r="E42" s="290"/>
      <c r="F42" s="290"/>
      <c r="G42" s="290"/>
      <c r="H42" s="290"/>
      <c r="I42" s="290"/>
      <c r="K42" s="214"/>
      <c r="L42" s="216"/>
      <c r="M42" s="216"/>
      <c r="N42" s="216"/>
      <c r="O42" s="216"/>
      <c r="P42" s="216"/>
      <c r="Q42" s="216"/>
      <c r="R42" s="216"/>
      <c r="T42" s="214"/>
      <c r="U42" s="261"/>
      <c r="V42" s="261"/>
      <c r="W42" s="261"/>
      <c r="X42" s="261"/>
      <c r="Y42" s="261"/>
      <c r="Z42" s="261"/>
      <c r="AA42" s="261"/>
      <c r="AD42" s="17" t="s">
        <v>162</v>
      </c>
      <c r="AE42" s="42">
        <f>SUM(L50:Q50)</f>
        <v>128478.2933480611</v>
      </c>
      <c r="AF42" s="560"/>
      <c r="AI42" s="561"/>
      <c r="AJ42" s="26"/>
      <c r="AK42" s="26"/>
    </row>
    <row r="43" spans="2:37" x14ac:dyDescent="0.25">
      <c r="B43" s="214" t="s">
        <v>273</v>
      </c>
      <c r="C43" s="289">
        <f>SUM('63'!E3)/1000</f>
        <v>7511.8084900000003</v>
      </c>
      <c r="D43" s="289">
        <f>SUM('63'!E4)/1000</f>
        <v>556.10030000000006</v>
      </c>
      <c r="E43" s="289">
        <f>SUM('63'!E5)/1000</f>
        <v>2831.3549900000003</v>
      </c>
      <c r="F43" s="289">
        <f>SUM('63'!E6)/1000</f>
        <v>2052.6350700000003</v>
      </c>
      <c r="G43" s="289">
        <f>SUM('63'!E20)/1000</f>
        <v>8645.1915800000006</v>
      </c>
      <c r="H43" s="289">
        <f>SUM('63'!E22)/1000</f>
        <v>8389.2270900000003</v>
      </c>
      <c r="I43" s="289">
        <f>SUM('63'!E15)/1000</f>
        <v>738.28889000000004</v>
      </c>
      <c r="J43" s="10">
        <v>15</v>
      </c>
      <c r="K43" s="214" t="s">
        <v>273</v>
      </c>
      <c r="L43" s="6">
        <f t="shared" ref="L43:R50" si="16">AD17/U17</f>
        <v>11904.609334389857</v>
      </c>
      <c r="M43" s="6">
        <f t="shared" si="16"/>
        <v>2739.4103448275864</v>
      </c>
      <c r="N43" s="6">
        <f t="shared" si="16"/>
        <v>10371.263699633701</v>
      </c>
      <c r="O43" s="6">
        <f t="shared" si="16"/>
        <v>21381.615312500002</v>
      </c>
      <c r="P43" s="6">
        <f t="shared" si="16"/>
        <v>49685.009080459771</v>
      </c>
      <c r="Q43" s="6">
        <f t="shared" si="16"/>
        <v>74903.813303571427</v>
      </c>
      <c r="R43" s="6">
        <f t="shared" si="16"/>
        <v>11535.76390625</v>
      </c>
      <c r="T43" s="214" t="s">
        <v>273</v>
      </c>
      <c r="U43" s="5">
        <f t="shared" ref="U43:AA50" si="17">SUM(U17/L17)*100</f>
        <v>83.909574468085097</v>
      </c>
      <c r="V43" s="5">
        <f t="shared" si="17"/>
        <v>55.313351498637594</v>
      </c>
      <c r="W43" s="5">
        <f t="shared" si="17"/>
        <v>90.099009900990097</v>
      </c>
      <c r="X43" s="5">
        <f t="shared" si="17"/>
        <v>82.051282051282044</v>
      </c>
      <c r="Y43" s="5">
        <f t="shared" si="17"/>
        <v>97.206703910614522</v>
      </c>
      <c r="Z43" s="5">
        <f t="shared" si="17"/>
        <v>91.803278688524586</v>
      </c>
      <c r="AA43" s="5">
        <f t="shared" si="17"/>
        <v>91.428571428571431</v>
      </c>
      <c r="AD43" s="17" t="s">
        <v>163</v>
      </c>
      <c r="AE43" s="42">
        <f>SUM(AD24:AI24)</f>
        <v>276339487.50999999</v>
      </c>
      <c r="AF43" s="26"/>
      <c r="AI43" s="561"/>
      <c r="AJ43" s="561"/>
      <c r="AK43" s="26"/>
    </row>
    <row r="44" spans="2:37" x14ac:dyDescent="0.25">
      <c r="B44" s="16">
        <v>1817</v>
      </c>
      <c r="C44" s="289">
        <f>SUM('17'!E3)/1000</f>
        <v>1972.5471699999998</v>
      </c>
      <c r="D44" s="289">
        <f>SUM('17'!E4)/1000</f>
        <v>562.05399</v>
      </c>
      <c r="E44" s="289">
        <f>SUM('17'!E5)/1000</f>
        <v>1313.8064299999999</v>
      </c>
      <c r="F44" s="289">
        <f>SUM('17'!E6)/1000</f>
        <v>190.01667999999998</v>
      </c>
      <c r="G44" s="289">
        <f>SUM('17'!E20)/1000</f>
        <v>3281.4438</v>
      </c>
      <c r="H44" s="289">
        <f>SUM('17'!E22)/1000</f>
        <v>2349.5285299999996</v>
      </c>
      <c r="I44" s="289">
        <f>SUM('17'!E15)/1000</f>
        <v>537.54600000000005</v>
      </c>
      <c r="J44" s="10">
        <v>16</v>
      </c>
      <c r="K44" s="16">
        <v>1817</v>
      </c>
      <c r="L44" s="6">
        <f t="shared" si="16"/>
        <v>12328.4198125</v>
      </c>
      <c r="M44" s="6">
        <f t="shared" si="16"/>
        <v>8388.8655223880596</v>
      </c>
      <c r="N44" s="6">
        <f t="shared" si="16"/>
        <v>7298.9246111111106</v>
      </c>
      <c r="O44" s="6">
        <f t="shared" si="16"/>
        <v>10000.877894736841</v>
      </c>
      <c r="P44" s="6">
        <f t="shared" si="16"/>
        <v>25636.279687499999</v>
      </c>
      <c r="Q44" s="6">
        <f t="shared" si="16"/>
        <v>47949.561836734691</v>
      </c>
      <c r="R44" s="6">
        <f t="shared" si="16"/>
        <v>9954.5555555555547</v>
      </c>
      <c r="T44" s="16">
        <v>1817</v>
      </c>
      <c r="U44" s="5">
        <f t="shared" si="17"/>
        <v>85.561497326203209</v>
      </c>
      <c r="V44" s="5">
        <f t="shared" si="17"/>
        <v>55.833333333333336</v>
      </c>
      <c r="W44" s="5">
        <f t="shared" si="17"/>
        <v>93.75</v>
      </c>
      <c r="X44" s="5">
        <f t="shared" si="17"/>
        <v>100</v>
      </c>
      <c r="Y44" s="5">
        <f t="shared" si="17"/>
        <v>100</v>
      </c>
      <c r="Z44" s="5">
        <f t="shared" si="17"/>
        <v>94.230769230769226</v>
      </c>
      <c r="AA44" s="5">
        <f t="shared" si="17"/>
        <v>93.103448275862064</v>
      </c>
      <c r="AD44" s="17"/>
      <c r="AE44" s="43"/>
    </row>
    <row r="45" spans="2:37" ht="15" customHeight="1" x14ac:dyDescent="0.25">
      <c r="B45" s="16">
        <v>1818</v>
      </c>
      <c r="C45" s="289">
        <f>SUM('18'!E3)/1000</f>
        <v>3310.80251</v>
      </c>
      <c r="D45" s="289">
        <f>SUM('18'!E4)/1000</f>
        <v>357.43957</v>
      </c>
      <c r="E45" s="289">
        <f>SUM('18'!E5)/1000</f>
        <v>1262.8226499999998</v>
      </c>
      <c r="F45" s="289">
        <f>SUM('18'!E6)/1000</f>
        <v>881.45918000000006</v>
      </c>
      <c r="G45" s="289">
        <f>SUM('18'!E20)/1000</f>
        <v>1919.8919699999999</v>
      </c>
      <c r="H45" s="289">
        <f>SUM('18'!E22)/1000</f>
        <v>1517.7598600000001</v>
      </c>
      <c r="I45" s="289">
        <f>SUM('18'!E15)/1000</f>
        <v>277.75690999999995</v>
      </c>
      <c r="J45" s="10">
        <v>17</v>
      </c>
      <c r="K45" s="16">
        <v>1818</v>
      </c>
      <c r="L45" s="6">
        <f t="shared" si="16"/>
        <v>13350.010120967741</v>
      </c>
      <c r="M45" s="6">
        <f t="shared" si="16"/>
        <v>3372.0714150943395</v>
      </c>
      <c r="N45" s="6">
        <f t="shared" si="16"/>
        <v>9714.0203846153836</v>
      </c>
      <c r="O45" s="6">
        <f t="shared" si="16"/>
        <v>17629.1836</v>
      </c>
      <c r="P45" s="6">
        <f t="shared" si="16"/>
        <v>22324.325232558138</v>
      </c>
      <c r="Q45" s="6">
        <f t="shared" si="16"/>
        <v>58375.379230769235</v>
      </c>
      <c r="R45" s="6">
        <f t="shared" si="16"/>
        <v>8169.3208823529403</v>
      </c>
      <c r="T45" s="16">
        <v>1818</v>
      </c>
      <c r="U45" s="5">
        <f t="shared" si="17"/>
        <v>82.392026578073086</v>
      </c>
      <c r="V45" s="5">
        <f t="shared" si="17"/>
        <v>68.387096774193552</v>
      </c>
      <c r="W45" s="5">
        <f t="shared" si="17"/>
        <v>99.236641221374043</v>
      </c>
      <c r="X45" s="5">
        <f t="shared" si="17"/>
        <v>92.592592592592595</v>
      </c>
      <c r="Y45" s="5">
        <f t="shared" si="17"/>
        <v>88.659793814432987</v>
      </c>
      <c r="Z45" s="5">
        <f t="shared" si="17"/>
        <v>96.296296296296291</v>
      </c>
      <c r="AA45" s="5">
        <f t="shared" si="17"/>
        <v>94.444444444444443</v>
      </c>
      <c r="AF45" s="554"/>
      <c r="AI45" s="555"/>
    </row>
    <row r="46" spans="2:37" x14ac:dyDescent="0.25">
      <c r="B46" s="16">
        <v>1819</v>
      </c>
      <c r="C46" s="289">
        <f>SUM('19'!E3)/1000</f>
        <v>6869.2228600000008</v>
      </c>
      <c r="D46" s="289">
        <f>SUM('19'!E4)/1000</f>
        <v>329.55046000000004</v>
      </c>
      <c r="E46" s="289">
        <f>SUM('19'!E5)/1000</f>
        <v>833.66579999999999</v>
      </c>
      <c r="F46" s="289">
        <f>SUM('19'!E6)/1000</f>
        <v>1918.0298899999998</v>
      </c>
      <c r="G46" s="289">
        <f>SUM('19'!E20)/1000</f>
        <v>3225.1894700000003</v>
      </c>
      <c r="H46" s="289">
        <f>SUM('19'!E22)/1000</f>
        <v>3124.45874</v>
      </c>
      <c r="I46" s="289">
        <f>SUM('19'!E15)/1000</f>
        <v>289.5</v>
      </c>
      <c r="J46" s="10">
        <v>18</v>
      </c>
      <c r="K46" s="16">
        <v>1819</v>
      </c>
      <c r="L46" s="6">
        <f t="shared" si="16"/>
        <v>13442.706183953034</v>
      </c>
      <c r="M46" s="6">
        <f t="shared" si="16"/>
        <v>10985.015333333335</v>
      </c>
      <c r="N46" s="6">
        <f t="shared" si="16"/>
        <v>7578.7800000000007</v>
      </c>
      <c r="O46" s="6">
        <f t="shared" si="16"/>
        <v>16393.417863247862</v>
      </c>
      <c r="P46" s="6">
        <f t="shared" si="16"/>
        <v>37943.405529411764</v>
      </c>
      <c r="Q46" s="6">
        <f t="shared" si="16"/>
        <v>58952.05169811321</v>
      </c>
      <c r="R46" s="6">
        <f t="shared" si="16"/>
        <v>10722.222222222223</v>
      </c>
      <c r="T46" s="16">
        <v>1819</v>
      </c>
      <c r="U46" s="5">
        <f t="shared" si="17"/>
        <v>88.103448275862078</v>
      </c>
      <c r="V46" s="5">
        <f t="shared" si="17"/>
        <v>57.692307692307686</v>
      </c>
      <c r="W46" s="5">
        <f t="shared" si="17"/>
        <v>96.491228070175438</v>
      </c>
      <c r="X46" s="5">
        <f t="shared" si="17"/>
        <v>100</v>
      </c>
      <c r="Y46" s="5">
        <f t="shared" si="17"/>
        <v>96.590909090909093</v>
      </c>
      <c r="Z46" s="5">
        <f t="shared" si="17"/>
        <v>91.379310344827587</v>
      </c>
      <c r="AA46" s="5">
        <f t="shared" si="17"/>
        <v>100</v>
      </c>
      <c r="AD46" s="40">
        <f>SUM(AD24+AE24+AF24+AG24+AH24+AI24+AJ24)/(U24+V24+W24+X24+Y24+Z24+AA24)</f>
        <v>17253.479125827813</v>
      </c>
      <c r="AE46" s="495">
        <f>SUM(AD24+AE24+AF24+AG24+AH24+AI24)/(U24+V24+W24+X24+Y24+Z24)</f>
        <v>17604.605179970695</v>
      </c>
      <c r="AF46" s="552"/>
      <c r="AI46" s="553"/>
    </row>
    <row r="47" spans="2:37" x14ac:dyDescent="0.25">
      <c r="B47" s="214" t="s">
        <v>272</v>
      </c>
      <c r="C47" s="289">
        <f>SUM('20'!E3)/1000</f>
        <v>3278.2193299999999</v>
      </c>
      <c r="D47" s="289">
        <f>SUM('20'!E4)/1000</f>
        <v>329.75135999999998</v>
      </c>
      <c r="E47" s="289">
        <f>SUM('20'!E5)/1000</f>
        <v>707.87856999999997</v>
      </c>
      <c r="F47" s="289">
        <f>SUM('20'!E6)/1000</f>
        <v>4237.8788500000001</v>
      </c>
      <c r="G47" s="289">
        <f>SUM('20'!E20)/1000</f>
        <v>1398.7534099999998</v>
      </c>
      <c r="H47" s="289">
        <f>SUM('20'!E22)/1000</f>
        <v>1099.30647</v>
      </c>
      <c r="I47" s="289">
        <f>SUM('20'!E15)/1000</f>
        <v>561.56681000000003</v>
      </c>
      <c r="J47" s="10">
        <v>19</v>
      </c>
      <c r="K47" s="214" t="s">
        <v>272</v>
      </c>
      <c r="L47" s="6">
        <f t="shared" si="16"/>
        <v>12141.553074074074</v>
      </c>
      <c r="M47" s="6">
        <f t="shared" si="16"/>
        <v>12682.744615384614</v>
      </c>
      <c r="N47" s="6">
        <f t="shared" si="16"/>
        <v>8848.4821249999986</v>
      </c>
      <c r="O47" s="6">
        <f t="shared" si="16"/>
        <v>15637.929335793357</v>
      </c>
      <c r="P47" s="6">
        <f t="shared" si="16"/>
        <v>19700.752253521125</v>
      </c>
      <c r="Q47" s="6">
        <f t="shared" si="16"/>
        <v>28929.117631578945</v>
      </c>
      <c r="R47" s="6">
        <f t="shared" si="16"/>
        <v>8913.7588888888895</v>
      </c>
      <c r="T47" s="214" t="s">
        <v>272</v>
      </c>
      <c r="U47" s="5">
        <f t="shared" si="17"/>
        <v>91.21621621621621</v>
      </c>
      <c r="V47" s="5">
        <f t="shared" si="17"/>
        <v>37.142857142857146</v>
      </c>
      <c r="W47" s="5">
        <f t="shared" si="17"/>
        <v>96.385542168674704</v>
      </c>
      <c r="X47" s="5">
        <f t="shared" si="17"/>
        <v>97.132616487455195</v>
      </c>
      <c r="Y47" s="5">
        <f t="shared" si="17"/>
        <v>100</v>
      </c>
      <c r="Z47" s="5">
        <f t="shared" si="17"/>
        <v>100</v>
      </c>
      <c r="AA47" s="5">
        <f t="shared" si="17"/>
        <v>91.304347826086953</v>
      </c>
      <c r="AD47" s="40">
        <f>SUM(U24+V24+W24+X24+Y24+Z24+AA24)/(L24+M24+N24+O24+P24+Q24+R24)*100</f>
        <v>86.886017680598414</v>
      </c>
      <c r="AE47" s="495">
        <f>SUM(U24+V24+W24+X24+Y24+Z24)/(L24+M24+N24+O24+P24+Q24)*100</f>
        <v>86.64716272907927</v>
      </c>
      <c r="AF47" s="552"/>
      <c r="AG47" s="553"/>
      <c r="AH47" s="552"/>
      <c r="AI47" s="553"/>
    </row>
    <row r="48" spans="2:37" x14ac:dyDescent="0.25">
      <c r="B48" s="16">
        <v>1821</v>
      </c>
      <c r="C48" s="289">
        <f>SUM('21'!E3)/1000</f>
        <v>1259.16698</v>
      </c>
      <c r="D48" s="289">
        <f>SUM('21'!E4)/1000</f>
        <v>49.985680000000002</v>
      </c>
      <c r="E48" s="289">
        <f>SUM('21'!E5)/1000</f>
        <v>206.35378</v>
      </c>
      <c r="F48" s="289">
        <f>SUM('21'!E6)/1000</f>
        <v>643.09805000000006</v>
      </c>
      <c r="G48" s="289">
        <f>SUM('21'!E20)/1000</f>
        <v>2556.2671800000003</v>
      </c>
      <c r="H48" s="289">
        <f>SUM('21'!E22)/1000</f>
        <v>1276.69182</v>
      </c>
      <c r="I48" s="289">
        <f>SUM('21'!E15)/1000</f>
        <v>524.5</v>
      </c>
      <c r="J48" s="10">
        <v>20</v>
      </c>
      <c r="K48" s="16">
        <v>1821</v>
      </c>
      <c r="L48" s="6">
        <f t="shared" si="16"/>
        <v>13395.393404255319</v>
      </c>
      <c r="M48" s="6">
        <f t="shared" si="16"/>
        <v>5553.9644444444448</v>
      </c>
      <c r="N48" s="6">
        <f t="shared" si="16"/>
        <v>5895.8222857142855</v>
      </c>
      <c r="O48" s="6">
        <f t="shared" si="16"/>
        <v>21436.601666666669</v>
      </c>
      <c r="P48" s="6">
        <f t="shared" si="16"/>
        <v>44073.572068965521</v>
      </c>
      <c r="Q48" s="6">
        <f t="shared" si="16"/>
        <v>127669.182</v>
      </c>
      <c r="R48" s="6">
        <f t="shared" si="16"/>
        <v>14985.714285714286</v>
      </c>
      <c r="T48" s="16">
        <v>1821</v>
      </c>
      <c r="U48" s="5">
        <f t="shared" si="17"/>
        <v>83.185840707964601</v>
      </c>
      <c r="V48" s="5">
        <f t="shared" si="17"/>
        <v>90</v>
      </c>
      <c r="W48" s="5">
        <f t="shared" si="17"/>
        <v>94.594594594594597</v>
      </c>
      <c r="X48" s="5">
        <f t="shared" si="17"/>
        <v>83.333333333333343</v>
      </c>
      <c r="Y48" s="5">
        <f t="shared" si="17"/>
        <v>82.857142857142861</v>
      </c>
      <c r="Z48" s="5">
        <f t="shared" si="17"/>
        <v>100</v>
      </c>
      <c r="AA48" s="5">
        <f t="shared" si="17"/>
        <v>89.743589743589752</v>
      </c>
      <c r="AD48" s="41">
        <f>SUM(C50:H50)</f>
        <v>276339.48751000001</v>
      </c>
      <c r="AE48" s="17"/>
      <c r="AF48" s="552"/>
      <c r="AG48" s="553"/>
      <c r="AH48" s="552"/>
      <c r="AI48" s="553"/>
    </row>
    <row r="49" spans="2:35" x14ac:dyDescent="0.25">
      <c r="B49" s="214" t="s">
        <v>274</v>
      </c>
      <c r="C49" s="289">
        <f>SUM('62'!E3)/1000</f>
        <v>2359.18424</v>
      </c>
      <c r="D49" s="289">
        <f>SUM('62'!E4)/1000</f>
        <v>261.87684000000002</v>
      </c>
      <c r="E49" s="289">
        <f>SUM('62'!E5)/1000</f>
        <v>2906.6531099999997</v>
      </c>
      <c r="F49" s="289">
        <f>SUM('62'!E6)/1000</f>
        <v>2110.1848199999999</v>
      </c>
      <c r="G49" s="289">
        <f>SUM('62'!E20)/1000</f>
        <v>3560.6751400000003</v>
      </c>
      <c r="H49" s="289">
        <f>SUM('62'!E22)/1000</f>
        <v>2429.5836899999999</v>
      </c>
      <c r="I49" s="289">
        <f>SUM('62'!E15)/1000</f>
        <v>1242</v>
      </c>
      <c r="J49" s="10">
        <v>21</v>
      </c>
      <c r="K49" s="214" t="s">
        <v>274</v>
      </c>
      <c r="L49" s="6">
        <f t="shared" si="16"/>
        <v>13481.052800000001</v>
      </c>
      <c r="M49" s="6">
        <f t="shared" si="16"/>
        <v>8729.228000000001</v>
      </c>
      <c r="N49" s="6">
        <f t="shared" si="16"/>
        <v>11767.826356275304</v>
      </c>
      <c r="O49" s="6">
        <f t="shared" si="16"/>
        <v>16358.021860465115</v>
      </c>
      <c r="P49" s="6">
        <f t="shared" si="16"/>
        <v>22824.840641025643</v>
      </c>
      <c r="Q49" s="6">
        <f t="shared" si="16"/>
        <v>38564.820476190478</v>
      </c>
      <c r="R49" s="6">
        <f t="shared" si="16"/>
        <v>9857.1428571428569</v>
      </c>
      <c r="T49" s="214" t="s">
        <v>274</v>
      </c>
      <c r="U49" s="5">
        <f t="shared" si="17"/>
        <v>85.784313725490193</v>
      </c>
      <c r="V49" s="5">
        <f t="shared" si="17"/>
        <v>44.776119402985074</v>
      </c>
      <c r="W49" s="5">
        <f t="shared" si="17"/>
        <v>97.628458498023718</v>
      </c>
      <c r="X49" s="5">
        <f t="shared" si="17"/>
        <v>94.85294117647058</v>
      </c>
      <c r="Y49" s="5">
        <f t="shared" si="17"/>
        <v>89.65517241379311</v>
      </c>
      <c r="Z49" s="5">
        <f t="shared" si="17"/>
        <v>81.818181818181827</v>
      </c>
      <c r="AA49" s="5">
        <f t="shared" si="17"/>
        <v>91.304347826086953</v>
      </c>
      <c r="AD49" s="42">
        <f>SUM(AD24:AI24)</f>
        <v>276339487.50999999</v>
      </c>
      <c r="AE49" s="17"/>
      <c r="AF49" s="552"/>
      <c r="AG49" s="553"/>
      <c r="AH49" s="552"/>
      <c r="AI49" s="553"/>
    </row>
    <row r="50" spans="2:35" x14ac:dyDescent="0.25">
      <c r="B50" s="348" t="s">
        <v>137</v>
      </c>
      <c r="C50" s="390">
        <f>SUM(C27:C49)</f>
        <v>82696.333379999982</v>
      </c>
      <c r="D50" s="390">
        <f t="shared" ref="D50" si="18">SUM(D27:D49)</f>
        <v>5662.5126100000007</v>
      </c>
      <c r="E50" s="390">
        <f>SUM(E27:E49)</f>
        <v>29417.699989999997</v>
      </c>
      <c r="F50" s="390">
        <f>SUM(F27:F49)</f>
        <v>30695.179130000008</v>
      </c>
      <c r="G50" s="390">
        <f>SUM(G27:G49)</f>
        <v>64698.140999999996</v>
      </c>
      <c r="H50" s="390">
        <f>SUM(H27:H49)</f>
        <v>63169.621400000011</v>
      </c>
      <c r="I50" s="390">
        <f>SUM(I27:I49)</f>
        <v>10240.80077</v>
      </c>
      <c r="J50" s="28"/>
      <c r="K50" s="348" t="s">
        <v>137</v>
      </c>
      <c r="L50" s="369">
        <f t="shared" si="16"/>
        <v>13014.846298394708</v>
      </c>
      <c r="M50" s="369">
        <f t="shared" si="16"/>
        <v>7250.3362483994879</v>
      </c>
      <c r="N50" s="369">
        <f t="shared" si="16"/>
        <v>8721.5238630299427</v>
      </c>
      <c r="O50" s="369">
        <f t="shared" si="16"/>
        <v>17225.128580246917</v>
      </c>
      <c r="P50" s="369">
        <f t="shared" si="16"/>
        <v>29182.742895805139</v>
      </c>
      <c r="Q50" s="369">
        <f t="shared" si="16"/>
        <v>53083.715462184882</v>
      </c>
      <c r="R50" s="369">
        <f t="shared" si="16"/>
        <v>11216.649255202628</v>
      </c>
      <c r="S50" s="28"/>
      <c r="T50" s="348" t="s">
        <v>137</v>
      </c>
      <c r="U50" s="349">
        <f t="shared" si="17"/>
        <v>85.071629401526309</v>
      </c>
      <c r="V50" s="369">
        <f t="shared" si="17"/>
        <v>52.031978680879412</v>
      </c>
      <c r="W50" s="369">
        <f t="shared" si="17"/>
        <v>93.357320786050366</v>
      </c>
      <c r="X50" s="369">
        <f t="shared" si="17"/>
        <v>94.23585404547859</v>
      </c>
      <c r="Y50" s="369">
        <f t="shared" si="17"/>
        <v>95.395869191049911</v>
      </c>
      <c r="Z50" s="369">
        <f t="shared" si="17"/>
        <v>90.28831562974203</v>
      </c>
      <c r="AA50" s="369">
        <f t="shared" si="17"/>
        <v>91.208791208791212</v>
      </c>
      <c r="AD50" s="18">
        <f>SUM(C24:H24)</f>
        <v>24415</v>
      </c>
      <c r="AE50" s="17"/>
      <c r="AF50" s="552"/>
      <c r="AG50" s="553"/>
      <c r="AH50" s="552"/>
      <c r="AI50" s="553"/>
    </row>
    <row r="51" spans="2:35" ht="12" customHeight="1" x14ac:dyDescent="0.25">
      <c r="K51" s="15" t="s">
        <v>385</v>
      </c>
      <c r="AD51" s="40">
        <f>SUM(AD49/AD50)</f>
        <v>11318.430780667622</v>
      </c>
      <c r="AE51" s="17"/>
      <c r="AF51" s="552"/>
      <c r="AG51" s="553"/>
      <c r="AH51" s="552"/>
      <c r="AI51" s="553"/>
    </row>
    <row r="52" spans="2:35" x14ac:dyDescent="0.25">
      <c r="B52" s="527">
        <f>SUM(C24:H24)</f>
        <v>24415</v>
      </c>
      <c r="K52" s="45">
        <f>SUM(C50:H50)</f>
        <v>276339.48751000001</v>
      </c>
      <c r="L52" s="28">
        <f>SUM(C24:H24)</f>
        <v>24415</v>
      </c>
      <c r="M52" s="28">
        <f>SUM(L24:Q24)</f>
        <v>18116</v>
      </c>
      <c r="N52" s="28">
        <f>SUM(U24:Z24)</f>
        <v>15697</v>
      </c>
      <c r="T52" s="527">
        <f>SUM(U24:Z24)</f>
        <v>15697</v>
      </c>
      <c r="U52" s="527">
        <f>SUM(L24:Q24)</f>
        <v>18116</v>
      </c>
      <c r="AD52" s="554"/>
      <c r="AE52" s="499">
        <f>SUM(AE39/AE38)*100</f>
        <v>74.200286708990376</v>
      </c>
      <c r="AF52" s="554"/>
      <c r="AG52" s="553"/>
      <c r="AH52" s="554"/>
      <c r="AI52" s="553"/>
    </row>
    <row r="53" spans="2:35" x14ac:dyDescent="0.25">
      <c r="M53" s="31">
        <f>SUM(M52/L52)*100</f>
        <v>74.200286708990376</v>
      </c>
      <c r="O53" s="29"/>
      <c r="AD53" s="554"/>
      <c r="AE53" s="554"/>
      <c r="AF53" s="554"/>
      <c r="AH53" s="554"/>
      <c r="AI53" s="554"/>
    </row>
    <row r="54" spans="2:35" x14ac:dyDescent="0.25">
      <c r="O54" s="29"/>
    </row>
    <row r="61" spans="2:35" ht="16.5" customHeight="1" x14ac:dyDescent="0.25"/>
    <row r="80" spans="3:9" x14ac:dyDescent="0.25">
      <c r="C80" s="31"/>
      <c r="D80" s="31"/>
      <c r="E80" s="31"/>
      <c r="F80" s="31"/>
      <c r="G80" s="31"/>
      <c r="H80" s="31"/>
      <c r="I80" s="31"/>
    </row>
  </sheetData>
  <pageMargins left="0" right="0" top="0" bottom="0" header="0" footer="0"/>
  <pageSetup paperSize="9" scale="34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1DBAB-A4E7-4BF8-ACB8-A774D15A5F07}">
  <sheetPr>
    <tabColor theme="0"/>
  </sheetPr>
  <dimension ref="B2:H10"/>
  <sheetViews>
    <sheetView zoomScale="80" zoomScaleNormal="80" workbookViewId="0">
      <selection activeCell="B1" sqref="B1"/>
    </sheetView>
  </sheetViews>
  <sheetFormatPr defaultRowHeight="15" x14ac:dyDescent="0.25"/>
  <cols>
    <col min="1" max="1" width="4.28515625" style="8" customWidth="1"/>
    <col min="2" max="2" width="9.140625" style="8"/>
    <col min="3" max="3" width="17.42578125" style="8" customWidth="1"/>
    <col min="4" max="4" width="9.140625" style="8"/>
    <col min="5" max="5" width="17.28515625" style="8" customWidth="1"/>
    <col min="6" max="6" width="9.140625" style="8"/>
    <col min="7" max="7" width="17.28515625" style="8" customWidth="1"/>
    <col min="8" max="16384" width="9.140625" style="8"/>
  </cols>
  <sheetData>
    <row r="2" spans="2:8" ht="60" customHeight="1" x14ac:dyDescent="0.25">
      <c r="B2" s="556" t="s">
        <v>55</v>
      </c>
      <c r="C2" s="557" t="s">
        <v>426</v>
      </c>
      <c r="D2" s="556" t="s">
        <v>55</v>
      </c>
      <c r="E2" s="557" t="s">
        <v>427</v>
      </c>
      <c r="F2" s="556" t="s">
        <v>55</v>
      </c>
      <c r="G2" s="558" t="s">
        <v>104</v>
      </c>
      <c r="H2" s="230"/>
    </row>
    <row r="3" spans="2:8" x14ac:dyDescent="0.25">
      <c r="B3" s="559">
        <v>2015</v>
      </c>
      <c r="C3" s="122">
        <v>36658</v>
      </c>
      <c r="D3" s="559">
        <v>2015</v>
      </c>
      <c r="E3" s="122">
        <v>26927</v>
      </c>
      <c r="F3" s="559">
        <v>2015</v>
      </c>
      <c r="G3" s="122">
        <v>20007</v>
      </c>
      <c r="H3" s="230">
        <v>6</v>
      </c>
    </row>
    <row r="4" spans="2:8" x14ac:dyDescent="0.25">
      <c r="B4" s="559">
        <v>2016</v>
      </c>
      <c r="C4" s="122">
        <v>35772</v>
      </c>
      <c r="D4" s="559">
        <v>2016</v>
      </c>
      <c r="E4" s="122">
        <v>28312</v>
      </c>
      <c r="F4" s="559">
        <v>2016</v>
      </c>
      <c r="G4" s="122">
        <v>22811</v>
      </c>
      <c r="H4" s="230">
        <v>6</v>
      </c>
    </row>
    <row r="5" spans="2:8" x14ac:dyDescent="0.25">
      <c r="B5" s="559">
        <v>2017</v>
      </c>
      <c r="C5" s="122">
        <v>31163</v>
      </c>
      <c r="D5" s="559">
        <v>2017</v>
      </c>
      <c r="E5" s="122">
        <v>24731</v>
      </c>
      <c r="F5" s="559">
        <v>2017</v>
      </c>
      <c r="G5" s="122">
        <v>21303</v>
      </c>
      <c r="H5" s="230">
        <v>6</v>
      </c>
    </row>
    <row r="6" spans="2:8" x14ac:dyDescent="0.25">
      <c r="B6" s="559">
        <v>2018</v>
      </c>
      <c r="C6" s="122">
        <v>26667</v>
      </c>
      <c r="D6" s="559">
        <v>2018</v>
      </c>
      <c r="E6" s="122">
        <v>22212</v>
      </c>
      <c r="F6" s="559">
        <v>2018</v>
      </c>
      <c r="G6" s="122">
        <v>19586</v>
      </c>
      <c r="H6" s="230">
        <v>6</v>
      </c>
    </row>
    <row r="7" spans="2:8" x14ac:dyDescent="0.25">
      <c r="B7" s="559">
        <v>2019</v>
      </c>
      <c r="C7" s="122">
        <v>22309</v>
      </c>
      <c r="D7" s="559">
        <v>2019</v>
      </c>
      <c r="E7" s="122">
        <v>17964</v>
      </c>
      <c r="F7" s="559">
        <v>2019</v>
      </c>
      <c r="G7" s="122">
        <v>16015</v>
      </c>
      <c r="H7" s="230">
        <v>6</v>
      </c>
    </row>
    <row r="8" spans="2:8" x14ac:dyDescent="0.25">
      <c r="B8" s="559">
        <v>2020</v>
      </c>
      <c r="C8" s="122">
        <v>18849</v>
      </c>
      <c r="D8" s="559">
        <v>2020</v>
      </c>
      <c r="E8" s="122">
        <v>15254</v>
      </c>
      <c r="F8" s="559">
        <v>2020</v>
      </c>
      <c r="G8" s="122">
        <v>13499</v>
      </c>
      <c r="H8" s="230">
        <v>6</v>
      </c>
    </row>
    <row r="9" spans="2:8" x14ac:dyDescent="0.25">
      <c r="B9" s="457">
        <v>2021</v>
      </c>
      <c r="C9" s="122">
        <f>SUM('21r'!D14)</f>
        <v>22945</v>
      </c>
      <c r="D9" s="457">
        <v>2021</v>
      </c>
      <c r="E9" s="122">
        <f>SUM('21r'!E14)</f>
        <v>16308</v>
      </c>
      <c r="F9" s="457">
        <v>2021</v>
      </c>
      <c r="G9" s="122">
        <f>SUM('21r'!F14)</f>
        <v>14591</v>
      </c>
      <c r="H9" s="230">
        <v>7</v>
      </c>
    </row>
    <row r="10" spans="2:8" x14ac:dyDescent="0.25">
      <c r="B10" s="457">
        <v>2022</v>
      </c>
      <c r="C10" s="122">
        <f>SUM('22r'!D13)</f>
        <v>24415</v>
      </c>
      <c r="D10" s="457">
        <v>2022</v>
      </c>
      <c r="E10" s="122">
        <f>SUM('22r'!E13)</f>
        <v>18116</v>
      </c>
      <c r="F10" s="457">
        <v>2022</v>
      </c>
      <c r="G10" s="122">
        <f>SUM('22r'!F13)</f>
        <v>15697</v>
      </c>
      <c r="H10" s="230">
        <v>6</v>
      </c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EE764-B29F-440E-AE03-2ADFE6907378}">
  <sheetPr>
    <tabColor theme="0"/>
  </sheetPr>
  <dimension ref="B2:H18"/>
  <sheetViews>
    <sheetView zoomScale="80" zoomScaleNormal="80" workbookViewId="0">
      <selection activeCell="B1" sqref="B1"/>
    </sheetView>
  </sheetViews>
  <sheetFormatPr defaultRowHeight="15" x14ac:dyDescent="0.25"/>
  <cols>
    <col min="1" max="1" width="3.28515625" style="8" customWidth="1"/>
    <col min="2" max="2" width="14.85546875" style="8" customWidth="1"/>
    <col min="3" max="4" width="9.140625" style="8"/>
    <col min="5" max="5" width="13.42578125" style="8" customWidth="1"/>
    <col min="6" max="7" width="9.140625" style="8"/>
    <col min="8" max="8" width="7.5703125" style="8" customWidth="1"/>
    <col min="9" max="16384" width="9.140625" style="8"/>
  </cols>
  <sheetData>
    <row r="2" spans="2:8" x14ac:dyDescent="0.25">
      <c r="B2" s="14" t="str">
        <f>T(P__!B1)</f>
        <v>6 podstawowych form - rozpoczęcie</v>
      </c>
      <c r="C2" s="15"/>
      <c r="D2" s="15"/>
      <c r="E2" s="15"/>
      <c r="F2" s="15"/>
      <c r="G2" s="15"/>
      <c r="H2" s="15"/>
    </row>
    <row r="3" spans="2:8" x14ac:dyDescent="0.25">
      <c r="B3" s="17" t="str">
        <f>T(P__!C2)</f>
        <v>staże</v>
      </c>
      <c r="C3" s="19">
        <f>SUM(P__!C24)</f>
        <v>10657</v>
      </c>
      <c r="D3" s="19">
        <f>RANK(P__!C24,P__!$C$24:'P__'!$I$24,0)+COUNTIF(P__!$C$24:'P__'!C24, P__!C24)-1</f>
        <v>1</v>
      </c>
      <c r="E3" s="17" t="str">
        <f>INDEX(B3:B9,MATCH(1,D3:D9,0),1)</f>
        <v>staże</v>
      </c>
      <c r="F3" s="44">
        <f>INDEX(C3:C9,MATCH(1,D3:D9,0),1)</f>
        <v>10657</v>
      </c>
      <c r="G3" s="5">
        <f>SUM(F3/F10)*100</f>
        <v>43.649395863198855</v>
      </c>
      <c r="H3" s="15"/>
    </row>
    <row r="4" spans="2:8" x14ac:dyDescent="0.25">
      <c r="B4" s="7" t="str">
        <f>T(P__!D2)</f>
        <v>szkolenia</v>
      </c>
      <c r="C4" s="19">
        <f>SUM(P__!D24)</f>
        <v>1845</v>
      </c>
      <c r="D4" s="19">
        <f>RANK(P__!D24,P__!$C$24:'P__'!$I$24,0)+COUNTIF(P__!$D$24:'P__'!D24, P__!D24)-1</f>
        <v>6</v>
      </c>
      <c r="E4" s="17" t="str">
        <f>INDEX(B3:B9,MATCH(2,D3:D9,0),1)</f>
        <v>prace interw.</v>
      </c>
      <c r="F4" s="44">
        <f>INDEX(C3:C9,MATCH(2,D3:D9,0),1)</f>
        <v>5180</v>
      </c>
      <c r="G4" s="5">
        <f>SUM(F4/F10)*100</f>
        <v>21.216465287732952</v>
      </c>
      <c r="H4" s="15"/>
    </row>
    <row r="5" spans="2:8" x14ac:dyDescent="0.25">
      <c r="B5" s="17" t="str">
        <f>T(P__!E2)</f>
        <v>prace interw.</v>
      </c>
      <c r="C5" s="19">
        <f>SUM(P__!E24)</f>
        <v>5180</v>
      </c>
      <c r="D5" s="19">
        <f>RANK(P__!E24,P__!$C$24:'P__'!$I$24,0)+COUNTIF(P__!$E$24:'P__'!E24, P__!E24)-1</f>
        <v>2</v>
      </c>
      <c r="E5" s="17" t="str">
        <f>INDEX(B3:B9,MATCH(3,D3:D9,0),1)</f>
        <v>dof. działaln.</v>
      </c>
      <c r="F5" s="44">
        <f>INDEX(C3:C9,MATCH(3,D3:D9,0),1)</f>
        <v>2383</v>
      </c>
      <c r="G5" s="5">
        <f>SUM(F5/F10)*100</f>
        <v>9.7603932009010848</v>
      </c>
      <c r="H5" s="15"/>
    </row>
    <row r="6" spans="2:8" x14ac:dyDescent="0.25">
      <c r="B6" s="17" t="str">
        <f>T(P__!F2)</f>
        <v>roboty publ.</v>
      </c>
      <c r="C6" s="19">
        <f>SUM(P__!F24)</f>
        <v>2172</v>
      </c>
      <c r="D6" s="19">
        <f>RANK(P__!F24,P__!$C$24:'P__'!$I$24,0)+COUNTIF(P__!$F$24:'P__'!F24, P__!F24)-1</f>
        <v>5</v>
      </c>
      <c r="E6" s="17" t="str">
        <f>INDEX(B3:B9,MATCH(4,D3:D9,0),1)</f>
        <v>refund. koszt.</v>
      </c>
      <c r="F6" s="44">
        <f>INDEX(C3:C9,MATCH(4,D3:D9,0),1)</f>
        <v>2178</v>
      </c>
      <c r="G6" s="5">
        <f>SUM(F6/F10)*100</f>
        <v>8.9207454433749742</v>
      </c>
      <c r="H6" s="15"/>
    </row>
    <row r="7" spans="2:8" x14ac:dyDescent="0.25">
      <c r="B7" s="17" t="str">
        <f>T(P__!G2)</f>
        <v>dof. działaln.</v>
      </c>
      <c r="C7" s="19">
        <f>SUM(P__!G24)</f>
        <v>2383</v>
      </c>
      <c r="D7" s="19">
        <f>RANK(P__!G24,P__!$C$24:'P__'!$I$24,0)+COUNTIF(P__!$G$24:'P__'!G24, P__!G24)-1</f>
        <v>3</v>
      </c>
      <c r="E7" s="17" t="str">
        <f>INDEX(B3:B9,MATCH(5,D3:D9,0),1)</f>
        <v>roboty publ.</v>
      </c>
      <c r="F7" s="44">
        <f>INDEX(C3:C9,MATCH(5,D3:D9,0),1)</f>
        <v>2172</v>
      </c>
      <c r="G7" s="5">
        <f>SUM(F7/F10)*100</f>
        <v>8.8961703870571363</v>
      </c>
      <c r="H7" s="15"/>
    </row>
    <row r="8" spans="2:8" x14ac:dyDescent="0.25">
      <c r="B8" s="17" t="str">
        <f>T(P__!H2)</f>
        <v>refund. koszt.</v>
      </c>
      <c r="C8" s="19">
        <f>SUM(P__!H24)</f>
        <v>2178</v>
      </c>
      <c r="D8" s="19">
        <f>RANK(P__!H24,P__!$C$24:'P__'!$I$24,0)+COUNTIF(P__!$H$24:'P__'!H24, P__!H24)-1</f>
        <v>4</v>
      </c>
      <c r="E8" s="17" t="str">
        <f>INDEX(B3:B9,MATCH(6,D3:D9,0),1)</f>
        <v>szkolenia</v>
      </c>
      <c r="F8" s="44">
        <f>INDEX(C3:C9,MATCH(6,D3:D9,0),1)</f>
        <v>1845</v>
      </c>
      <c r="G8" s="5">
        <f>SUM(F8/F10)*100</f>
        <v>7.5568298177349984</v>
      </c>
      <c r="H8" s="15"/>
    </row>
    <row r="9" spans="2:8" x14ac:dyDescent="0.25">
      <c r="B9" s="17" t="str">
        <f>T(P__!I2)</f>
        <v>bon na zas.</v>
      </c>
      <c r="C9" s="19">
        <f>SUM(P__!I24)</f>
        <v>1132</v>
      </c>
      <c r="D9" s="19">
        <f>RANK(P__!I24,P__!$C$24:'P__'!$I$24,0)+COUNTIF(P__!$I$24:'P__'!I24, P__!I24)-1</f>
        <v>7</v>
      </c>
      <c r="E9" s="17" t="str">
        <f>INDEX(B3:B9,MATCH(7,D3:D9,0),1)</f>
        <v>bon na zas.</v>
      </c>
      <c r="F9" s="44">
        <f>INDEX(C3:C9,MATCH(7,D3:D9,0),1)</f>
        <v>1132</v>
      </c>
      <c r="G9" s="349"/>
      <c r="H9" s="15"/>
    </row>
    <row r="10" spans="2:8" x14ac:dyDescent="0.25">
      <c r="B10" s="267" t="str">
        <f>T(P__!K1)</f>
        <v>6 podstawowych form - graduacja</v>
      </c>
      <c r="C10" s="266"/>
      <c r="D10" s="266"/>
      <c r="E10" s="266"/>
      <c r="F10" s="265">
        <f>SUM(F3:F8)</f>
        <v>24415</v>
      </c>
      <c r="G10" s="264">
        <f>SUM(G3:G8)</f>
        <v>100</v>
      </c>
      <c r="H10" s="15"/>
    </row>
    <row r="11" spans="2:8" x14ac:dyDescent="0.25">
      <c r="B11" s="17" t="str">
        <f>T(P__!L2)</f>
        <v>staże</v>
      </c>
      <c r="C11" s="19">
        <f>SUM(P__!L24)</f>
        <v>7469</v>
      </c>
      <c r="D11" s="19">
        <f>RANK(P__!L24, P__!$L$24     : P__!$R$24,0)+COUNTIF(P__!$L$24     : P__!L24,P__!L24)-1</f>
        <v>1</v>
      </c>
      <c r="E11" s="17" t="str">
        <f>INDEX(B11:B17,MATCH(1,D11:D17,0),1)</f>
        <v>staże</v>
      </c>
      <c r="F11" s="19">
        <f>INDEX(C11:C17,MATCH(1,D11:D17,0),1)</f>
        <v>7469</v>
      </c>
      <c r="G11" s="5">
        <f>SUM(F11/F18)*100</f>
        <v>41.228748068006183</v>
      </c>
      <c r="H11" s="15"/>
    </row>
    <row r="12" spans="2:8" x14ac:dyDescent="0.25">
      <c r="B12" s="17" t="str">
        <f>T(P__!M2)</f>
        <v>szkolenia</v>
      </c>
      <c r="C12" s="19">
        <f>SUM(P__!M24)</f>
        <v>1501</v>
      </c>
      <c r="D12" s="19">
        <f>RANK(P__!M24, P__!$L$24      : P__!$R$24,0)+COUNTIF(P__!$M$24      : P__!M24,P__!M24)-1</f>
        <v>5</v>
      </c>
      <c r="E12" s="17" t="str">
        <f>INDEX(B11:B17,MATCH(2,D11:D17,0),1)</f>
        <v>prace interw.</v>
      </c>
      <c r="F12" s="19">
        <f>INDEX(C11:C17,MATCH(2,D11:D17,0),1)</f>
        <v>3613</v>
      </c>
      <c r="G12" s="5">
        <f>SUM(F12/F18)*100</f>
        <v>19.943696180172225</v>
      </c>
      <c r="H12" s="15"/>
    </row>
    <row r="13" spans="2:8" x14ac:dyDescent="0.25">
      <c r="B13" s="17" t="str">
        <f>T(P__!N2)</f>
        <v>prace interw.</v>
      </c>
      <c r="C13" s="19">
        <f>SUM(P__!N24)</f>
        <v>3613</v>
      </c>
      <c r="D13" s="19">
        <f>RANK(P__!N24, P__!$L$24      : P__!$R$24,0)+COUNTIF(P__!$N$24      : P__!N24,P__!N24)-1</f>
        <v>2</v>
      </c>
      <c r="E13" s="17" t="str">
        <f>INDEX(B11:B17,MATCH(3,D11:D17,0),1)</f>
        <v>dof. działaln.</v>
      </c>
      <c r="F13" s="19">
        <f>INDEX(C11:C17,MATCH(3,D11:D17,0),1)</f>
        <v>2324</v>
      </c>
      <c r="G13" s="5">
        <f>SUM(F13/F18)*100</f>
        <v>12.828438948995363</v>
      </c>
      <c r="H13" s="15"/>
    </row>
    <row r="14" spans="2:8" x14ac:dyDescent="0.25">
      <c r="B14" s="17" t="str">
        <f>T(P__!O2)</f>
        <v>roboty publ.</v>
      </c>
      <c r="C14" s="19">
        <f>SUM(P__!O24)</f>
        <v>1891</v>
      </c>
      <c r="D14" s="19">
        <f>RANK(P__!O24, P__!$L$24      : P__!$R$24,0)+COUNTIF(P__!$O$24      : P__!O24,P__!O24)-1</f>
        <v>4</v>
      </c>
      <c r="E14" s="17" t="str">
        <f>INDEX(B11:B17,MATCH(4,D11:D17,0),1)</f>
        <v>roboty publ.</v>
      </c>
      <c r="F14" s="19">
        <f>INDEX(C11:C17,MATCH(4,D11:D17,0),1)</f>
        <v>1891</v>
      </c>
      <c r="G14" s="5">
        <f>SUM(F14/F18)*100</f>
        <v>10.438286597482888</v>
      </c>
      <c r="H14" s="15"/>
    </row>
    <row r="15" spans="2:8" x14ac:dyDescent="0.25">
      <c r="B15" s="17" t="str">
        <f>T(P__!P2)</f>
        <v>dof. działaln.</v>
      </c>
      <c r="C15" s="19">
        <f>SUM(P__!P24)</f>
        <v>2324</v>
      </c>
      <c r="D15" s="19">
        <f>RANK(P__!P24, P__!$L$24      : P__!$R$24,0)+COUNTIF(P__!$P$24      : P__!P24,P__!P24)-1</f>
        <v>3</v>
      </c>
      <c r="E15" s="17" t="str">
        <f>INDEX(B11:B17,MATCH(5,D11:D17,0),1)</f>
        <v>szkolenia</v>
      </c>
      <c r="F15" s="19">
        <f>INDEX(C11:C17,MATCH(5,D11:D17,0),1)</f>
        <v>1501</v>
      </c>
      <c r="G15" s="5">
        <f>SUM(F15/F18)*100</f>
        <v>8.2854934864208438</v>
      </c>
      <c r="H15" s="15"/>
    </row>
    <row r="16" spans="2:8" x14ac:dyDescent="0.25">
      <c r="B16" s="17" t="str">
        <f>T(P__!Q2)</f>
        <v>refund. koszt.</v>
      </c>
      <c r="C16" s="19">
        <f>SUM(P__!Q24)</f>
        <v>1318</v>
      </c>
      <c r="D16" s="19">
        <f>RANK(P__!Q24, P__!$L$24      : P__!$R$24,0)+COUNTIF(P__!$Q$24      : P__!Q24,P__!Q24)-1</f>
        <v>6</v>
      </c>
      <c r="E16" s="17" t="str">
        <f>INDEX(B11:B17,MATCH(6,D11:D17,0),1)</f>
        <v>refund. koszt.</v>
      </c>
      <c r="F16" s="19">
        <f>INDEX(C11:C17,MATCH(6,D11:D17,0),1)</f>
        <v>1318</v>
      </c>
      <c r="G16" s="5">
        <f>SUM(F16/F18)*100</f>
        <v>7.2753367189224996</v>
      </c>
      <c r="H16" s="15"/>
    </row>
    <row r="17" spans="2:8" x14ac:dyDescent="0.25">
      <c r="B17" s="17" t="str">
        <f>T(P__!R2)</f>
        <v>bon na zas.</v>
      </c>
      <c r="C17" s="19">
        <f>SUM(P__!R24)</f>
        <v>1001</v>
      </c>
      <c r="D17" s="19">
        <f>RANK(P__!R24, P__!$L$24      : P__!$R$24,0)+COUNTIF(P__!$R$24      : P__!R24,P__!R24)-1</f>
        <v>7</v>
      </c>
      <c r="E17" s="17" t="str">
        <f>INDEX(B11:B17,MATCH(7,D11:D17,0),1)</f>
        <v>bon na zas.</v>
      </c>
      <c r="F17" s="19">
        <f>INDEX(C11:C17,MATCH(7,D11:D17,0),1)</f>
        <v>1001</v>
      </c>
      <c r="G17" s="349"/>
      <c r="H17" s="15"/>
    </row>
    <row r="18" spans="2:8" x14ac:dyDescent="0.25">
      <c r="B18" s="262"/>
      <c r="C18" s="262"/>
      <c r="D18" s="262"/>
      <c r="E18" s="262"/>
      <c r="F18" s="263">
        <f>SUM(F11:F16)</f>
        <v>18116</v>
      </c>
      <c r="G18" s="261">
        <f>SUM(G11:G16)</f>
        <v>100.00000000000001</v>
      </c>
      <c r="H18" s="31">
        <f>SUM(F18/F10)*100</f>
        <v>74.200286708990376</v>
      </c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Arkusz26">
    <tabColor theme="9" tint="0.59999389629810485"/>
  </sheetPr>
  <dimension ref="A1:K36"/>
  <sheetViews>
    <sheetView zoomScale="80" zoomScaleNormal="80" workbookViewId="0"/>
  </sheetViews>
  <sheetFormatPr defaultRowHeight="14.25" x14ac:dyDescent="0.2"/>
  <cols>
    <col min="1" max="3" width="9.140625" style="204"/>
    <col min="4" max="4" width="9.140625" style="202"/>
    <col min="5" max="5" width="12.85546875" style="204" customWidth="1"/>
    <col min="6" max="6" width="11.85546875" style="204" customWidth="1"/>
    <col min="7" max="7" width="11.7109375" style="204" customWidth="1"/>
    <col min="8" max="8" width="11.140625" style="204" customWidth="1"/>
    <col min="9" max="9" width="5.85546875" style="212" customWidth="1"/>
    <col min="10" max="10" width="5.85546875" style="204" customWidth="1"/>
    <col min="11" max="11" width="7" style="204" customWidth="1"/>
    <col min="12" max="16384" width="9.140625" style="204"/>
  </cols>
  <sheetData>
    <row r="1" spans="1:11" s="394" customFormat="1" x14ac:dyDescent="0.2">
      <c r="A1" s="392" t="s">
        <v>22</v>
      </c>
      <c r="B1" s="392" t="s">
        <v>23</v>
      </c>
      <c r="C1" s="392" t="s">
        <v>24</v>
      </c>
      <c r="D1" s="392" t="s">
        <v>25</v>
      </c>
      <c r="E1" s="393" t="s">
        <v>95</v>
      </c>
      <c r="F1" s="393" t="s">
        <v>53</v>
      </c>
      <c r="G1" s="393" t="s">
        <v>54</v>
      </c>
      <c r="H1" s="393" t="s">
        <v>94</v>
      </c>
    </row>
    <row r="2" spans="1:11" x14ac:dyDescent="0.2">
      <c r="A2" s="202" t="s">
        <v>352</v>
      </c>
      <c r="B2" s="202" t="s">
        <v>26</v>
      </c>
      <c r="C2" s="202" t="s">
        <v>353</v>
      </c>
      <c r="D2" s="202" t="s">
        <v>27</v>
      </c>
      <c r="E2" s="203">
        <v>5805302.1500000004</v>
      </c>
      <c r="F2" s="203">
        <v>520</v>
      </c>
      <c r="G2" s="203">
        <v>394</v>
      </c>
      <c r="H2" s="203">
        <v>346</v>
      </c>
    </row>
    <row r="3" spans="1:11" x14ac:dyDescent="0.2">
      <c r="A3" s="202" t="s">
        <v>352</v>
      </c>
      <c r="B3" s="202" t="s">
        <v>26</v>
      </c>
      <c r="C3" s="202" t="s">
        <v>353</v>
      </c>
      <c r="D3" s="202" t="s">
        <v>28</v>
      </c>
      <c r="E3" s="393">
        <v>1888070.45</v>
      </c>
      <c r="F3" s="393">
        <v>220</v>
      </c>
      <c r="G3" s="393">
        <v>161</v>
      </c>
      <c r="H3" s="393">
        <v>138</v>
      </c>
      <c r="I3" s="213" t="s">
        <v>28</v>
      </c>
      <c r="J3" s="392">
        <v>1</v>
      </c>
      <c r="K3" s="204" t="s">
        <v>136</v>
      </c>
    </row>
    <row r="4" spans="1:11" x14ac:dyDescent="0.2">
      <c r="A4" s="202" t="s">
        <v>352</v>
      </c>
      <c r="B4" s="202" t="s">
        <v>26</v>
      </c>
      <c r="C4" s="202" t="s">
        <v>353</v>
      </c>
      <c r="D4" s="202" t="s">
        <v>29</v>
      </c>
      <c r="E4" s="393">
        <v>45377.86</v>
      </c>
      <c r="F4" s="393">
        <v>11</v>
      </c>
      <c r="G4" s="393">
        <v>10</v>
      </c>
      <c r="H4" s="393">
        <v>4</v>
      </c>
      <c r="I4" s="213" t="s">
        <v>29</v>
      </c>
      <c r="J4" s="392">
        <v>2</v>
      </c>
      <c r="K4" s="204" t="s">
        <v>135</v>
      </c>
    </row>
    <row r="5" spans="1:11" x14ac:dyDescent="0.2">
      <c r="A5" s="202" t="s">
        <v>352</v>
      </c>
      <c r="B5" s="202" t="s">
        <v>26</v>
      </c>
      <c r="C5" s="202" t="s">
        <v>353</v>
      </c>
      <c r="D5" s="202" t="s">
        <v>30</v>
      </c>
      <c r="E5" s="393">
        <v>661414.98</v>
      </c>
      <c r="F5" s="393">
        <v>119</v>
      </c>
      <c r="G5" s="393">
        <v>103</v>
      </c>
      <c r="H5" s="393">
        <v>100</v>
      </c>
      <c r="I5" s="213" t="s">
        <v>30</v>
      </c>
      <c r="J5" s="392">
        <v>3</v>
      </c>
      <c r="K5" s="204" t="s">
        <v>262</v>
      </c>
    </row>
    <row r="6" spans="1:11" x14ac:dyDescent="0.2">
      <c r="A6" s="202" t="s">
        <v>352</v>
      </c>
      <c r="B6" s="202" t="s">
        <v>26</v>
      </c>
      <c r="C6" s="202" t="s">
        <v>353</v>
      </c>
      <c r="D6" s="202" t="s">
        <v>31</v>
      </c>
      <c r="E6" s="393">
        <v>136683.17000000001</v>
      </c>
      <c r="F6" s="393">
        <v>12</v>
      </c>
      <c r="G6" s="393">
        <v>7</v>
      </c>
      <c r="H6" s="393">
        <v>7</v>
      </c>
      <c r="I6" s="213" t="s">
        <v>31</v>
      </c>
      <c r="J6" s="392">
        <v>4</v>
      </c>
      <c r="K6" s="204" t="s">
        <v>263</v>
      </c>
    </row>
    <row r="7" spans="1:11" x14ac:dyDescent="0.2">
      <c r="A7" s="202" t="s">
        <v>352</v>
      </c>
      <c r="B7" s="202" t="s">
        <v>26</v>
      </c>
      <c r="C7" s="202" t="s">
        <v>353</v>
      </c>
      <c r="D7" s="202" t="s">
        <v>32</v>
      </c>
      <c r="E7" s="205">
        <v>14862.3</v>
      </c>
      <c r="F7" s="205">
        <v>7</v>
      </c>
      <c r="G7" s="205">
        <v>7</v>
      </c>
      <c r="H7" s="205">
        <v>0</v>
      </c>
      <c r="I7" s="213"/>
    </row>
    <row r="8" spans="1:11" x14ac:dyDescent="0.2">
      <c r="A8" s="202" t="s">
        <v>352</v>
      </c>
      <c r="B8" s="202" t="s">
        <v>26</v>
      </c>
      <c r="C8" s="202" t="s">
        <v>353</v>
      </c>
      <c r="D8" s="202" t="s">
        <v>33</v>
      </c>
      <c r="E8" s="205">
        <v>0</v>
      </c>
      <c r="F8" s="205">
        <v>0</v>
      </c>
      <c r="G8" s="205">
        <v>0</v>
      </c>
      <c r="H8" s="205">
        <v>0</v>
      </c>
      <c r="I8" s="213"/>
    </row>
    <row r="9" spans="1:11" x14ac:dyDescent="0.2">
      <c r="A9" s="202" t="s">
        <v>352</v>
      </c>
      <c r="B9" s="202" t="s">
        <v>26</v>
      </c>
      <c r="C9" s="202" t="s">
        <v>353</v>
      </c>
      <c r="D9" s="202" t="s">
        <v>34</v>
      </c>
      <c r="E9" s="205">
        <v>0</v>
      </c>
      <c r="F9" s="205">
        <v>0</v>
      </c>
      <c r="G9" s="205">
        <v>0</v>
      </c>
      <c r="H9" s="205">
        <v>0</v>
      </c>
      <c r="I9" s="213"/>
    </row>
    <row r="10" spans="1:11" x14ac:dyDescent="0.2">
      <c r="A10" s="202" t="s">
        <v>352</v>
      </c>
      <c r="B10" s="202" t="s">
        <v>26</v>
      </c>
      <c r="C10" s="202" t="s">
        <v>353</v>
      </c>
      <c r="D10" s="202" t="s">
        <v>35</v>
      </c>
      <c r="E10" s="205">
        <v>0</v>
      </c>
      <c r="F10" s="205">
        <v>0</v>
      </c>
      <c r="G10" s="205">
        <v>0</v>
      </c>
      <c r="H10" s="205">
        <v>0</v>
      </c>
      <c r="I10" s="213"/>
    </row>
    <row r="11" spans="1:11" x14ac:dyDescent="0.2">
      <c r="A11" s="202" t="s">
        <v>352</v>
      </c>
      <c r="B11" s="202" t="s">
        <v>26</v>
      </c>
      <c r="C11" s="202" t="s">
        <v>353</v>
      </c>
      <c r="D11" s="202" t="s">
        <v>36</v>
      </c>
      <c r="E11" s="205">
        <v>0</v>
      </c>
      <c r="F11" s="205">
        <v>0</v>
      </c>
      <c r="G11" s="205">
        <v>0</v>
      </c>
      <c r="H11" s="205">
        <v>0</v>
      </c>
      <c r="I11" s="213"/>
    </row>
    <row r="12" spans="1:11" x14ac:dyDescent="0.2">
      <c r="A12" s="202" t="s">
        <v>352</v>
      </c>
      <c r="B12" s="202" t="s">
        <v>26</v>
      </c>
      <c r="C12" s="202" t="s">
        <v>353</v>
      </c>
      <c r="D12" s="202" t="s">
        <v>37</v>
      </c>
      <c r="E12" s="205">
        <v>0</v>
      </c>
      <c r="F12" s="205">
        <v>0</v>
      </c>
      <c r="G12" s="205">
        <v>0</v>
      </c>
      <c r="H12" s="205">
        <v>0</v>
      </c>
      <c r="I12" s="213"/>
    </row>
    <row r="13" spans="1:11" x14ac:dyDescent="0.2">
      <c r="A13" s="202" t="s">
        <v>352</v>
      </c>
      <c r="B13" s="202" t="s">
        <v>26</v>
      </c>
      <c r="C13" s="202" t="s">
        <v>353</v>
      </c>
      <c r="D13" s="202" t="s">
        <v>26</v>
      </c>
      <c r="E13" s="205">
        <v>35406.83</v>
      </c>
      <c r="F13" s="205">
        <v>5</v>
      </c>
      <c r="G13" s="205">
        <v>0</v>
      </c>
      <c r="H13" s="205">
        <v>0</v>
      </c>
      <c r="I13" s="213"/>
    </row>
    <row r="14" spans="1:11" x14ac:dyDescent="0.2">
      <c r="A14" s="202" t="s">
        <v>352</v>
      </c>
      <c r="B14" s="202" t="s">
        <v>26</v>
      </c>
      <c r="C14" s="202" t="s">
        <v>353</v>
      </c>
      <c r="D14" s="202" t="s">
        <v>38</v>
      </c>
      <c r="E14" s="205">
        <v>0</v>
      </c>
      <c r="F14" s="205">
        <v>0</v>
      </c>
      <c r="G14" s="205">
        <v>0</v>
      </c>
      <c r="H14" s="205">
        <v>0</v>
      </c>
      <c r="I14" s="213"/>
    </row>
    <row r="15" spans="1:11" x14ac:dyDescent="0.2">
      <c r="A15" s="202" t="s">
        <v>352</v>
      </c>
      <c r="B15" s="202" t="s">
        <v>26</v>
      </c>
      <c r="C15" s="202" t="s">
        <v>353</v>
      </c>
      <c r="D15" s="202" t="s">
        <v>39</v>
      </c>
      <c r="E15" s="393">
        <v>623500.49</v>
      </c>
      <c r="F15" s="393">
        <v>66</v>
      </c>
      <c r="G15" s="393">
        <v>39</v>
      </c>
      <c r="H15" s="393">
        <v>34</v>
      </c>
      <c r="I15" s="213"/>
      <c r="J15" s="392">
        <v>7</v>
      </c>
      <c r="K15" s="204" t="s">
        <v>294</v>
      </c>
    </row>
    <row r="16" spans="1:11" x14ac:dyDescent="0.2">
      <c r="A16" s="202" t="s">
        <v>352</v>
      </c>
      <c r="B16" s="202" t="s">
        <v>26</v>
      </c>
      <c r="C16" s="202" t="s">
        <v>353</v>
      </c>
      <c r="D16" s="202" t="s">
        <v>40</v>
      </c>
      <c r="E16" s="205">
        <v>0</v>
      </c>
      <c r="F16" s="205">
        <v>0</v>
      </c>
      <c r="G16" s="205">
        <v>0</v>
      </c>
      <c r="H16" s="205">
        <v>0</v>
      </c>
      <c r="I16" s="213"/>
    </row>
    <row r="17" spans="1:11" x14ac:dyDescent="0.2">
      <c r="A17" s="202" t="s">
        <v>352</v>
      </c>
      <c r="B17" s="202" t="s">
        <v>26</v>
      </c>
      <c r="C17" s="202" t="s">
        <v>353</v>
      </c>
      <c r="D17" s="202" t="s">
        <v>41</v>
      </c>
      <c r="E17" s="205">
        <v>0</v>
      </c>
      <c r="F17" s="205">
        <v>0</v>
      </c>
      <c r="G17" s="205">
        <v>0</v>
      </c>
      <c r="H17" s="205">
        <v>0</v>
      </c>
      <c r="I17" s="213"/>
    </row>
    <row r="18" spans="1:11" x14ac:dyDescent="0.2">
      <c r="A18" s="202" t="s">
        <v>352</v>
      </c>
      <c r="B18" s="202" t="s">
        <v>26</v>
      </c>
      <c r="C18" s="202" t="s">
        <v>353</v>
      </c>
      <c r="D18" s="202" t="s">
        <v>42</v>
      </c>
      <c r="E18" s="205">
        <v>0</v>
      </c>
      <c r="F18" s="205">
        <v>0</v>
      </c>
      <c r="G18" s="205">
        <v>0</v>
      </c>
      <c r="H18" s="205">
        <v>0</v>
      </c>
      <c r="I18" s="213"/>
    </row>
    <row r="19" spans="1:11" x14ac:dyDescent="0.2">
      <c r="A19" s="202" t="s">
        <v>352</v>
      </c>
      <c r="B19" s="202" t="s">
        <v>26</v>
      </c>
      <c r="C19" s="202" t="s">
        <v>353</v>
      </c>
      <c r="D19" s="202" t="s">
        <v>43</v>
      </c>
      <c r="E19" s="207">
        <v>0</v>
      </c>
      <c r="F19" s="207">
        <v>0</v>
      </c>
      <c r="G19" s="207">
        <v>0</v>
      </c>
      <c r="H19" s="207">
        <v>0</v>
      </c>
    </row>
    <row r="20" spans="1:11" x14ac:dyDescent="0.2">
      <c r="A20" s="202" t="s">
        <v>352</v>
      </c>
      <c r="B20" s="202" t="s">
        <v>26</v>
      </c>
      <c r="C20" s="202" t="s">
        <v>353</v>
      </c>
      <c r="D20" s="202" t="s">
        <v>44</v>
      </c>
      <c r="E20" s="393">
        <v>1649986.07</v>
      </c>
      <c r="F20" s="393">
        <v>55</v>
      </c>
      <c r="G20" s="393">
        <v>58</v>
      </c>
      <c r="H20" s="393">
        <v>55</v>
      </c>
      <c r="I20" s="213">
        <v>19</v>
      </c>
      <c r="J20" s="392">
        <v>5</v>
      </c>
      <c r="K20" s="204" t="s">
        <v>264</v>
      </c>
    </row>
    <row r="21" spans="1:11" x14ac:dyDescent="0.2">
      <c r="A21" s="202" t="s">
        <v>352</v>
      </c>
      <c r="B21" s="202" t="s">
        <v>26</v>
      </c>
      <c r="C21" s="202" t="s">
        <v>353</v>
      </c>
      <c r="D21" s="202" t="s">
        <v>45</v>
      </c>
      <c r="E21" s="207">
        <v>0</v>
      </c>
      <c r="F21" s="207">
        <v>0</v>
      </c>
      <c r="G21" s="207">
        <v>0</v>
      </c>
      <c r="H21" s="207">
        <v>0</v>
      </c>
    </row>
    <row r="22" spans="1:11" x14ac:dyDescent="0.2">
      <c r="A22" s="202" t="s">
        <v>352</v>
      </c>
      <c r="B22" s="202" t="s">
        <v>26</v>
      </c>
      <c r="C22" s="202" t="s">
        <v>353</v>
      </c>
      <c r="D22" s="202" t="s">
        <v>46</v>
      </c>
      <c r="E22" s="393">
        <v>750000</v>
      </c>
      <c r="F22" s="393">
        <v>25</v>
      </c>
      <c r="G22" s="393">
        <v>8</v>
      </c>
      <c r="H22" s="393">
        <v>7</v>
      </c>
      <c r="I22" s="213" t="s">
        <v>46</v>
      </c>
      <c r="J22" s="392">
        <v>6</v>
      </c>
      <c r="K22" s="204" t="s">
        <v>265</v>
      </c>
    </row>
    <row r="23" spans="1:11" x14ac:dyDescent="0.2">
      <c r="A23" s="202" t="s">
        <v>352</v>
      </c>
      <c r="B23" s="202" t="s">
        <v>26</v>
      </c>
      <c r="C23" s="202" t="s">
        <v>353</v>
      </c>
      <c r="D23" s="202" t="s">
        <v>47</v>
      </c>
      <c r="E23" s="205">
        <v>0</v>
      </c>
      <c r="F23" s="205">
        <v>0</v>
      </c>
      <c r="G23" s="205">
        <v>0</v>
      </c>
      <c r="H23" s="205">
        <v>0</v>
      </c>
    </row>
    <row r="24" spans="1:11" x14ac:dyDescent="0.2">
      <c r="A24" s="202" t="s">
        <v>352</v>
      </c>
      <c r="B24" s="202" t="s">
        <v>26</v>
      </c>
      <c r="C24" s="202" t="s">
        <v>353</v>
      </c>
      <c r="D24" s="202" t="s">
        <v>48</v>
      </c>
      <c r="E24" s="205">
        <v>0</v>
      </c>
      <c r="F24" s="205">
        <v>0</v>
      </c>
      <c r="G24" s="205">
        <v>0</v>
      </c>
      <c r="H24" s="205">
        <v>0</v>
      </c>
    </row>
    <row r="25" spans="1:11" x14ac:dyDescent="0.2">
      <c r="A25" s="202" t="s">
        <v>352</v>
      </c>
      <c r="B25" s="202" t="s">
        <v>26</v>
      </c>
      <c r="C25" s="202" t="s">
        <v>353</v>
      </c>
      <c r="D25" s="202" t="s">
        <v>354</v>
      </c>
      <c r="E25" s="205">
        <v>0</v>
      </c>
      <c r="F25" s="205">
        <v>0</v>
      </c>
      <c r="G25" s="205">
        <v>1</v>
      </c>
      <c r="H25" s="205">
        <v>1</v>
      </c>
    </row>
    <row r="26" spans="1:11" x14ac:dyDescent="0.2">
      <c r="A26" s="202" t="s">
        <v>352</v>
      </c>
      <c r="B26" s="202" t="s">
        <v>26</v>
      </c>
      <c r="C26" s="202" t="s">
        <v>353</v>
      </c>
      <c r="D26" s="202" t="s">
        <v>355</v>
      </c>
      <c r="E26" s="205">
        <v>0</v>
      </c>
      <c r="F26" s="205">
        <v>0</v>
      </c>
      <c r="G26" s="205">
        <v>0</v>
      </c>
      <c r="H26" s="205">
        <v>0</v>
      </c>
    </row>
    <row r="27" spans="1:11" x14ac:dyDescent="0.2">
      <c r="A27" s="202" t="s">
        <v>352</v>
      </c>
      <c r="B27" s="202" t="s">
        <v>26</v>
      </c>
      <c r="C27" s="202" t="s">
        <v>353</v>
      </c>
      <c r="D27" s="202" t="s">
        <v>356</v>
      </c>
      <c r="E27" s="205">
        <v>0</v>
      </c>
      <c r="F27" s="205">
        <v>0</v>
      </c>
      <c r="G27" s="205">
        <v>0</v>
      </c>
      <c r="H27" s="205">
        <v>0</v>
      </c>
    </row>
    <row r="28" spans="1:11" x14ac:dyDescent="0.2">
      <c r="A28" s="254" t="s">
        <v>352</v>
      </c>
      <c r="B28" s="254" t="s">
        <v>26</v>
      </c>
      <c r="C28" s="254" t="s">
        <v>353</v>
      </c>
      <c r="D28" s="254" t="s">
        <v>357</v>
      </c>
      <c r="E28" s="255">
        <v>11610604.300000001</v>
      </c>
      <c r="F28" s="255">
        <v>1040</v>
      </c>
      <c r="G28" s="255">
        <v>788</v>
      </c>
      <c r="H28" s="255">
        <v>692</v>
      </c>
    </row>
    <row r="29" spans="1:11" x14ac:dyDescent="0.2">
      <c r="A29" s="202" t="s">
        <v>352</v>
      </c>
      <c r="B29" s="202" t="s">
        <v>26</v>
      </c>
      <c r="C29" s="202" t="s">
        <v>353</v>
      </c>
      <c r="D29" s="208" t="s">
        <v>49</v>
      </c>
      <c r="E29" s="207">
        <v>960</v>
      </c>
      <c r="F29" s="207">
        <v>0</v>
      </c>
      <c r="G29" s="207">
        <v>0</v>
      </c>
      <c r="H29" s="207">
        <v>0</v>
      </c>
    </row>
    <row r="30" spans="1:11" x14ac:dyDescent="0.2">
      <c r="A30" s="202" t="s">
        <v>352</v>
      </c>
      <c r="B30" s="202" t="s">
        <v>26</v>
      </c>
      <c r="C30" s="202" t="s">
        <v>353</v>
      </c>
      <c r="D30" s="208" t="s">
        <v>50</v>
      </c>
      <c r="E30" s="207">
        <v>240</v>
      </c>
      <c r="F30" s="207">
        <v>0</v>
      </c>
      <c r="G30" s="207">
        <v>0</v>
      </c>
      <c r="H30" s="207">
        <v>0</v>
      </c>
    </row>
    <row r="31" spans="1:11" x14ac:dyDescent="0.2">
      <c r="D31" s="209" t="s">
        <v>93</v>
      </c>
      <c r="E31" s="210">
        <f>SUM(E3:E6,E20,E22)</f>
        <v>5131532.53</v>
      </c>
      <c r="F31" s="210">
        <f>SUM(F3:F6,F20,F22)</f>
        <v>442</v>
      </c>
      <c r="G31" s="210">
        <f>SUM(G3:G6,G20,G22)</f>
        <v>347</v>
      </c>
      <c r="H31" s="210">
        <f>SUM(H3:H6,H20,H22)</f>
        <v>311</v>
      </c>
      <c r="K31" s="393">
        <f>SUM(H31)/G31*100</f>
        <v>89.625360230547543</v>
      </c>
    </row>
    <row r="32" spans="1:11" x14ac:dyDescent="0.2">
      <c r="D32" s="211" t="s">
        <v>105</v>
      </c>
      <c r="E32" s="201">
        <f>E3+E4+E5+E6+E20+E22</f>
        <v>5131532.53</v>
      </c>
      <c r="F32" s="202"/>
      <c r="G32" s="202"/>
      <c r="H32" s="202"/>
    </row>
    <row r="33" spans="4:11" x14ac:dyDescent="0.2">
      <c r="D33" s="204"/>
      <c r="E33" s="205">
        <f>SUM(E3:E20,E22,E24:E27)</f>
        <v>5805302.1500000004</v>
      </c>
      <c r="F33" s="202"/>
      <c r="G33" s="202"/>
      <c r="H33" s="202"/>
    </row>
    <row r="34" spans="4:11" x14ac:dyDescent="0.2">
      <c r="D34" s="209" t="s">
        <v>295</v>
      </c>
      <c r="E34" s="210">
        <f>SUM(E3:E6,E15,E20,E22)</f>
        <v>5755033.0200000005</v>
      </c>
      <c r="F34" s="210">
        <f>SUM(F3:F6,F15,F20,F22)</f>
        <v>508</v>
      </c>
      <c r="G34" s="210">
        <f>SUM(G3:G6,G15,G20,G22)</f>
        <v>386</v>
      </c>
      <c r="H34" s="210">
        <f>SUM(H3:H6,H15,H20,H22)</f>
        <v>345</v>
      </c>
      <c r="K34" s="393">
        <f>SUM(H34)/G34*100</f>
        <v>89.37823834196891</v>
      </c>
    </row>
    <row r="35" spans="4:11" x14ac:dyDescent="0.2">
      <c r="D35" s="211" t="s">
        <v>105</v>
      </c>
      <c r="E35" s="201">
        <f>E3+E4+E5+E6+E15+E20+E22</f>
        <v>5755033.0200000005</v>
      </c>
      <c r="F35" s="202"/>
      <c r="G35" s="202"/>
      <c r="H35" s="202"/>
    </row>
    <row r="36" spans="4:11" x14ac:dyDescent="0.2">
      <c r="D36" s="204"/>
      <c r="E36" s="205">
        <f>SUM(E3:E20,E22,E24:E27)</f>
        <v>5805302.1500000004</v>
      </c>
      <c r="F36" s="202"/>
      <c r="G36" s="202"/>
      <c r="H36" s="202"/>
    </row>
  </sheetData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Arkusz27">
    <tabColor theme="9" tint="0.59999389629810485"/>
  </sheetPr>
  <dimension ref="A1:K36"/>
  <sheetViews>
    <sheetView zoomScale="80" zoomScaleNormal="80" workbookViewId="0"/>
  </sheetViews>
  <sheetFormatPr defaultRowHeight="14.25" x14ac:dyDescent="0.2"/>
  <cols>
    <col min="1" max="3" width="9.140625" style="204"/>
    <col min="4" max="4" width="9.140625" style="202"/>
    <col min="5" max="5" width="13.5703125" style="204" customWidth="1"/>
    <col min="6" max="6" width="11.85546875" style="204" customWidth="1"/>
    <col min="7" max="7" width="11.7109375" style="204" customWidth="1"/>
    <col min="8" max="8" width="11.140625" style="204" customWidth="1"/>
    <col min="9" max="10" width="5.85546875" style="204" customWidth="1"/>
    <col min="11" max="16384" width="9.140625" style="204"/>
  </cols>
  <sheetData>
    <row r="1" spans="1:10" s="394" customFormat="1" x14ac:dyDescent="0.2">
      <c r="A1" s="392" t="s">
        <v>22</v>
      </c>
      <c r="B1" s="392" t="s">
        <v>23</v>
      </c>
      <c r="C1" s="392" t="s">
        <v>24</v>
      </c>
      <c r="D1" s="392" t="s">
        <v>25</v>
      </c>
      <c r="E1" s="393" t="s">
        <v>95</v>
      </c>
      <c r="F1" s="393" t="s">
        <v>53</v>
      </c>
      <c r="G1" s="393" t="s">
        <v>54</v>
      </c>
      <c r="H1" s="393" t="s">
        <v>94</v>
      </c>
    </row>
    <row r="2" spans="1:10" x14ac:dyDescent="0.2">
      <c r="A2" s="202" t="s">
        <v>352</v>
      </c>
      <c r="B2" s="202" t="s">
        <v>26</v>
      </c>
      <c r="C2" s="202" t="s">
        <v>358</v>
      </c>
      <c r="D2" s="202" t="s">
        <v>27</v>
      </c>
      <c r="E2" s="205">
        <v>13064326.49</v>
      </c>
      <c r="F2" s="205">
        <v>1077</v>
      </c>
      <c r="G2" s="205">
        <v>790</v>
      </c>
      <c r="H2" s="205">
        <v>718</v>
      </c>
    </row>
    <row r="3" spans="1:10" x14ac:dyDescent="0.2">
      <c r="A3" s="202" t="s">
        <v>352</v>
      </c>
      <c r="B3" s="202" t="s">
        <v>26</v>
      </c>
      <c r="C3" s="202" t="s">
        <v>358</v>
      </c>
      <c r="D3" s="202" t="s">
        <v>28</v>
      </c>
      <c r="E3" s="393">
        <v>4022886.72</v>
      </c>
      <c r="F3" s="393">
        <v>494</v>
      </c>
      <c r="G3" s="393">
        <v>299</v>
      </c>
      <c r="H3" s="393">
        <v>256</v>
      </c>
      <c r="I3" s="417" t="s">
        <v>28</v>
      </c>
      <c r="J3" s="417">
        <v>1</v>
      </c>
    </row>
    <row r="4" spans="1:10" x14ac:dyDescent="0.2">
      <c r="A4" s="202" t="s">
        <v>352</v>
      </c>
      <c r="B4" s="202" t="s">
        <v>26</v>
      </c>
      <c r="C4" s="202" t="s">
        <v>358</v>
      </c>
      <c r="D4" s="202" t="s">
        <v>29</v>
      </c>
      <c r="E4" s="393">
        <v>137533.68</v>
      </c>
      <c r="F4" s="393">
        <v>29</v>
      </c>
      <c r="G4" s="393">
        <v>27</v>
      </c>
      <c r="H4" s="393">
        <v>16</v>
      </c>
      <c r="I4" s="417" t="s">
        <v>29</v>
      </c>
      <c r="J4" s="417">
        <v>2</v>
      </c>
    </row>
    <row r="5" spans="1:10" x14ac:dyDescent="0.2">
      <c r="A5" s="202" t="s">
        <v>352</v>
      </c>
      <c r="B5" s="202" t="s">
        <v>26</v>
      </c>
      <c r="C5" s="202" t="s">
        <v>358</v>
      </c>
      <c r="D5" s="202" t="s">
        <v>30</v>
      </c>
      <c r="E5" s="393">
        <v>982822.37</v>
      </c>
      <c r="F5" s="393">
        <v>194</v>
      </c>
      <c r="G5" s="393">
        <v>168</v>
      </c>
      <c r="H5" s="393">
        <v>162</v>
      </c>
      <c r="I5" s="417" t="s">
        <v>30</v>
      </c>
      <c r="J5" s="417">
        <v>3</v>
      </c>
    </row>
    <row r="6" spans="1:10" x14ac:dyDescent="0.2">
      <c r="A6" s="202" t="s">
        <v>352</v>
      </c>
      <c r="B6" s="202" t="s">
        <v>26</v>
      </c>
      <c r="C6" s="202" t="s">
        <v>358</v>
      </c>
      <c r="D6" s="202" t="s">
        <v>31</v>
      </c>
      <c r="E6" s="393">
        <v>1144459.79</v>
      </c>
      <c r="F6" s="393">
        <v>70</v>
      </c>
      <c r="G6" s="393">
        <v>62</v>
      </c>
      <c r="H6" s="393">
        <v>59</v>
      </c>
      <c r="I6" s="417" t="s">
        <v>31</v>
      </c>
      <c r="J6" s="417">
        <v>4</v>
      </c>
    </row>
    <row r="7" spans="1:10" x14ac:dyDescent="0.2">
      <c r="A7" s="202" t="s">
        <v>352</v>
      </c>
      <c r="B7" s="202" t="s">
        <v>26</v>
      </c>
      <c r="C7" s="202" t="s">
        <v>358</v>
      </c>
      <c r="D7" s="202" t="s">
        <v>32</v>
      </c>
      <c r="E7" s="205">
        <v>8430</v>
      </c>
      <c r="F7" s="205">
        <v>6</v>
      </c>
      <c r="G7" s="205">
        <v>5</v>
      </c>
      <c r="H7" s="205">
        <v>0</v>
      </c>
      <c r="I7" s="206"/>
    </row>
    <row r="8" spans="1:10" x14ac:dyDescent="0.2">
      <c r="A8" s="202" t="s">
        <v>352</v>
      </c>
      <c r="B8" s="202" t="s">
        <v>26</v>
      </c>
      <c r="C8" s="202" t="s">
        <v>358</v>
      </c>
      <c r="D8" s="202" t="s">
        <v>33</v>
      </c>
      <c r="E8" s="205">
        <v>0</v>
      </c>
      <c r="F8" s="205">
        <v>0</v>
      </c>
      <c r="G8" s="205">
        <v>0</v>
      </c>
      <c r="H8" s="205">
        <v>0</v>
      </c>
      <c r="I8" s="206"/>
    </row>
    <row r="9" spans="1:10" x14ac:dyDescent="0.2">
      <c r="A9" s="202" t="s">
        <v>352</v>
      </c>
      <c r="B9" s="202" t="s">
        <v>26</v>
      </c>
      <c r="C9" s="202" t="s">
        <v>358</v>
      </c>
      <c r="D9" s="202" t="s">
        <v>34</v>
      </c>
      <c r="E9" s="205">
        <v>0</v>
      </c>
      <c r="F9" s="205">
        <v>0</v>
      </c>
      <c r="G9" s="205">
        <v>0</v>
      </c>
      <c r="H9" s="205">
        <v>0</v>
      </c>
      <c r="I9" s="206"/>
    </row>
    <row r="10" spans="1:10" x14ac:dyDescent="0.2">
      <c r="A10" s="202" t="s">
        <v>352</v>
      </c>
      <c r="B10" s="202" t="s">
        <v>26</v>
      </c>
      <c r="C10" s="202" t="s">
        <v>358</v>
      </c>
      <c r="D10" s="202" t="s">
        <v>35</v>
      </c>
      <c r="E10" s="205">
        <v>0</v>
      </c>
      <c r="F10" s="205">
        <v>0</v>
      </c>
      <c r="G10" s="205">
        <v>0</v>
      </c>
      <c r="H10" s="205">
        <v>0</v>
      </c>
      <c r="I10" s="206"/>
    </row>
    <row r="11" spans="1:10" x14ac:dyDescent="0.2">
      <c r="A11" s="202" t="s">
        <v>352</v>
      </c>
      <c r="B11" s="202" t="s">
        <v>26</v>
      </c>
      <c r="C11" s="202" t="s">
        <v>358</v>
      </c>
      <c r="D11" s="202" t="s">
        <v>36</v>
      </c>
      <c r="E11" s="205">
        <v>0</v>
      </c>
      <c r="F11" s="205">
        <v>0</v>
      </c>
      <c r="G11" s="205">
        <v>0</v>
      </c>
      <c r="H11" s="205">
        <v>0</v>
      </c>
      <c r="I11" s="206"/>
    </row>
    <row r="12" spans="1:10" x14ac:dyDescent="0.2">
      <c r="A12" s="202" t="s">
        <v>352</v>
      </c>
      <c r="B12" s="202" t="s">
        <v>26</v>
      </c>
      <c r="C12" s="202" t="s">
        <v>358</v>
      </c>
      <c r="D12" s="202" t="s">
        <v>37</v>
      </c>
      <c r="E12" s="205">
        <v>0</v>
      </c>
      <c r="F12" s="205">
        <v>0</v>
      </c>
      <c r="G12" s="205">
        <v>0</v>
      </c>
      <c r="H12" s="205">
        <v>0</v>
      </c>
      <c r="I12" s="206"/>
    </row>
    <row r="13" spans="1:10" x14ac:dyDescent="0.2">
      <c r="A13" s="202" t="s">
        <v>352</v>
      </c>
      <c r="B13" s="202" t="s">
        <v>26</v>
      </c>
      <c r="C13" s="202" t="s">
        <v>358</v>
      </c>
      <c r="D13" s="202" t="s">
        <v>26</v>
      </c>
      <c r="E13" s="205">
        <v>0</v>
      </c>
      <c r="F13" s="205">
        <v>0</v>
      </c>
      <c r="G13" s="205">
        <v>0</v>
      </c>
      <c r="H13" s="205">
        <v>0</v>
      </c>
      <c r="I13" s="206"/>
    </row>
    <row r="14" spans="1:10" x14ac:dyDescent="0.2">
      <c r="A14" s="202" t="s">
        <v>352</v>
      </c>
      <c r="B14" s="202" t="s">
        <v>26</v>
      </c>
      <c r="C14" s="202" t="s">
        <v>358</v>
      </c>
      <c r="D14" s="202" t="s">
        <v>38</v>
      </c>
      <c r="E14" s="205">
        <v>0</v>
      </c>
      <c r="F14" s="205">
        <v>0</v>
      </c>
      <c r="G14" s="205">
        <v>0</v>
      </c>
      <c r="H14" s="205">
        <v>0</v>
      </c>
      <c r="I14" s="206"/>
    </row>
    <row r="15" spans="1:10" x14ac:dyDescent="0.2">
      <c r="A15" s="202" t="s">
        <v>352</v>
      </c>
      <c r="B15" s="202" t="s">
        <v>26</v>
      </c>
      <c r="C15" s="202" t="s">
        <v>358</v>
      </c>
      <c r="D15" s="202" t="s">
        <v>39</v>
      </c>
      <c r="E15" s="393">
        <v>603000</v>
      </c>
      <c r="F15" s="393">
        <v>58</v>
      </c>
      <c r="G15" s="393">
        <v>38</v>
      </c>
      <c r="H15" s="393">
        <v>35</v>
      </c>
      <c r="I15" s="213"/>
      <c r="J15" s="417">
        <v>7</v>
      </c>
    </row>
    <row r="16" spans="1:10" x14ac:dyDescent="0.2">
      <c r="A16" s="202" t="s">
        <v>352</v>
      </c>
      <c r="B16" s="202" t="s">
        <v>26</v>
      </c>
      <c r="C16" s="202" t="s">
        <v>358</v>
      </c>
      <c r="D16" s="202" t="s">
        <v>40</v>
      </c>
      <c r="E16" s="205">
        <v>0</v>
      </c>
      <c r="F16" s="205">
        <v>0</v>
      </c>
      <c r="G16" s="205">
        <v>0</v>
      </c>
      <c r="H16" s="205">
        <v>0</v>
      </c>
      <c r="I16" s="206"/>
    </row>
    <row r="17" spans="1:11" x14ac:dyDescent="0.2">
      <c r="A17" s="202" t="s">
        <v>352</v>
      </c>
      <c r="B17" s="202" t="s">
        <v>26</v>
      </c>
      <c r="C17" s="202" t="s">
        <v>358</v>
      </c>
      <c r="D17" s="202" t="s">
        <v>41</v>
      </c>
      <c r="E17" s="205">
        <v>0</v>
      </c>
      <c r="F17" s="205">
        <v>0</v>
      </c>
      <c r="G17" s="205">
        <v>0</v>
      </c>
      <c r="H17" s="205">
        <v>0</v>
      </c>
      <c r="I17" s="206"/>
    </row>
    <row r="18" spans="1:11" x14ac:dyDescent="0.2">
      <c r="A18" s="202" t="s">
        <v>352</v>
      </c>
      <c r="B18" s="202" t="s">
        <v>26</v>
      </c>
      <c r="C18" s="202" t="s">
        <v>358</v>
      </c>
      <c r="D18" s="202" t="s">
        <v>42</v>
      </c>
      <c r="E18" s="205">
        <v>22140.48</v>
      </c>
      <c r="F18" s="205">
        <v>9</v>
      </c>
      <c r="G18" s="205">
        <v>9</v>
      </c>
      <c r="H18" s="205">
        <v>9</v>
      </c>
      <c r="I18" s="206"/>
    </row>
    <row r="19" spans="1:11" x14ac:dyDescent="0.2">
      <c r="A19" s="202" t="s">
        <v>352</v>
      </c>
      <c r="B19" s="202" t="s">
        <v>26</v>
      </c>
      <c r="C19" s="202" t="s">
        <v>358</v>
      </c>
      <c r="D19" s="202" t="s">
        <v>43</v>
      </c>
      <c r="E19" s="205">
        <v>0</v>
      </c>
      <c r="F19" s="205">
        <v>0</v>
      </c>
      <c r="G19" s="205">
        <v>0</v>
      </c>
      <c r="H19" s="205">
        <v>0</v>
      </c>
      <c r="I19" s="206"/>
    </row>
    <row r="20" spans="1:11" x14ac:dyDescent="0.2">
      <c r="A20" s="202" t="s">
        <v>352</v>
      </c>
      <c r="B20" s="202" t="s">
        <v>26</v>
      </c>
      <c r="C20" s="202" t="s">
        <v>358</v>
      </c>
      <c r="D20" s="202" t="s">
        <v>44</v>
      </c>
      <c r="E20" s="393">
        <v>3426736.78</v>
      </c>
      <c r="F20" s="393">
        <v>130</v>
      </c>
      <c r="G20" s="393">
        <v>110</v>
      </c>
      <c r="H20" s="393">
        <v>109</v>
      </c>
      <c r="I20" s="417">
        <v>19</v>
      </c>
      <c r="J20" s="417">
        <v>5</v>
      </c>
    </row>
    <row r="21" spans="1:11" x14ac:dyDescent="0.2">
      <c r="A21" s="202" t="s">
        <v>352</v>
      </c>
      <c r="B21" s="202" t="s">
        <v>26</v>
      </c>
      <c r="C21" s="202" t="s">
        <v>358</v>
      </c>
      <c r="D21" s="202" t="s">
        <v>45</v>
      </c>
      <c r="E21" s="205">
        <v>0</v>
      </c>
      <c r="F21" s="205">
        <v>0</v>
      </c>
      <c r="G21" s="205">
        <v>0</v>
      </c>
      <c r="H21" s="205">
        <v>0</v>
      </c>
      <c r="I21" s="206"/>
    </row>
    <row r="22" spans="1:11" x14ac:dyDescent="0.2">
      <c r="A22" s="202" t="s">
        <v>352</v>
      </c>
      <c r="B22" s="202" t="s">
        <v>26</v>
      </c>
      <c r="C22" s="202" t="s">
        <v>358</v>
      </c>
      <c r="D22" s="202" t="s">
        <v>46</v>
      </c>
      <c r="E22" s="393">
        <v>2716316.67</v>
      </c>
      <c r="F22" s="393">
        <v>87</v>
      </c>
      <c r="G22" s="393">
        <v>72</v>
      </c>
      <c r="H22" s="393">
        <v>72</v>
      </c>
      <c r="I22" s="417" t="s">
        <v>46</v>
      </c>
      <c r="J22" s="417">
        <v>6</v>
      </c>
    </row>
    <row r="23" spans="1:11" x14ac:dyDescent="0.2">
      <c r="A23" s="202" t="s">
        <v>352</v>
      </c>
      <c r="B23" s="202" t="s">
        <v>26</v>
      </c>
      <c r="C23" s="202" t="s">
        <v>358</v>
      </c>
      <c r="D23" s="202" t="s">
        <v>47</v>
      </c>
      <c r="E23" s="205">
        <v>0</v>
      </c>
      <c r="F23" s="205">
        <v>0</v>
      </c>
      <c r="G23" s="205">
        <v>0</v>
      </c>
      <c r="H23" s="205">
        <v>0</v>
      </c>
    </row>
    <row r="24" spans="1:11" x14ac:dyDescent="0.2">
      <c r="A24" s="202" t="s">
        <v>352</v>
      </c>
      <c r="B24" s="202" t="s">
        <v>26</v>
      </c>
      <c r="C24" s="202" t="s">
        <v>358</v>
      </c>
      <c r="D24" s="202" t="s">
        <v>48</v>
      </c>
      <c r="E24" s="205">
        <v>0</v>
      </c>
      <c r="F24" s="205">
        <v>0</v>
      </c>
      <c r="G24" s="205">
        <v>0</v>
      </c>
      <c r="H24" s="205">
        <v>0</v>
      </c>
    </row>
    <row r="25" spans="1:11" x14ac:dyDescent="0.2">
      <c r="A25" s="202" t="s">
        <v>352</v>
      </c>
      <c r="B25" s="202" t="s">
        <v>26</v>
      </c>
      <c r="C25" s="202" t="s">
        <v>358</v>
      </c>
      <c r="D25" s="202" t="s">
        <v>354</v>
      </c>
      <c r="E25" s="205">
        <v>0</v>
      </c>
      <c r="F25" s="205">
        <v>0</v>
      </c>
      <c r="G25" s="205">
        <v>0</v>
      </c>
      <c r="H25" s="205">
        <v>0</v>
      </c>
    </row>
    <row r="26" spans="1:11" x14ac:dyDescent="0.2">
      <c r="A26" s="202" t="s">
        <v>352</v>
      </c>
      <c r="B26" s="202" t="s">
        <v>26</v>
      </c>
      <c r="C26" s="202" t="s">
        <v>358</v>
      </c>
      <c r="D26" s="202" t="s">
        <v>355</v>
      </c>
      <c r="E26" s="205">
        <v>0</v>
      </c>
      <c r="F26" s="205">
        <v>0</v>
      </c>
      <c r="G26" s="205">
        <v>0</v>
      </c>
      <c r="H26" s="205">
        <v>0</v>
      </c>
    </row>
    <row r="27" spans="1:11" x14ac:dyDescent="0.2">
      <c r="A27" s="202" t="s">
        <v>352</v>
      </c>
      <c r="B27" s="202" t="s">
        <v>26</v>
      </c>
      <c r="C27" s="202" t="s">
        <v>358</v>
      </c>
      <c r="D27" s="202" t="s">
        <v>356</v>
      </c>
      <c r="E27" s="205">
        <v>0</v>
      </c>
      <c r="F27" s="205">
        <v>0</v>
      </c>
      <c r="G27" s="205">
        <v>0</v>
      </c>
      <c r="H27" s="205">
        <v>0</v>
      </c>
    </row>
    <row r="28" spans="1:11" x14ac:dyDescent="0.2">
      <c r="A28" s="254" t="s">
        <v>352</v>
      </c>
      <c r="B28" s="254" t="s">
        <v>26</v>
      </c>
      <c r="C28" s="254" t="s">
        <v>358</v>
      </c>
      <c r="D28" s="254" t="s">
        <v>357</v>
      </c>
      <c r="E28" s="255">
        <v>26128652.98</v>
      </c>
      <c r="F28" s="255">
        <v>2154</v>
      </c>
      <c r="G28" s="255">
        <v>1580</v>
      </c>
      <c r="H28" s="255">
        <v>1436</v>
      </c>
    </row>
    <row r="29" spans="1:11" x14ac:dyDescent="0.2">
      <c r="A29" s="202" t="s">
        <v>352</v>
      </c>
      <c r="B29" s="202" t="s">
        <v>26</v>
      </c>
      <c r="C29" s="202" t="s">
        <v>358</v>
      </c>
      <c r="D29" s="202" t="s">
        <v>49</v>
      </c>
      <c r="E29" s="205">
        <v>480</v>
      </c>
      <c r="F29" s="205">
        <v>0</v>
      </c>
      <c r="G29" s="205">
        <v>0</v>
      </c>
      <c r="H29" s="205">
        <v>0</v>
      </c>
    </row>
    <row r="30" spans="1:11" x14ac:dyDescent="0.2">
      <c r="A30" s="202" t="s">
        <v>352</v>
      </c>
      <c r="B30" s="202" t="s">
        <v>26</v>
      </c>
      <c r="C30" s="202" t="s">
        <v>358</v>
      </c>
      <c r="D30" s="202" t="s">
        <v>50</v>
      </c>
      <c r="E30" s="205">
        <v>100</v>
      </c>
      <c r="F30" s="205">
        <v>0</v>
      </c>
      <c r="G30" s="205">
        <v>0</v>
      </c>
      <c r="H30" s="205">
        <v>0</v>
      </c>
    </row>
    <row r="31" spans="1:11" x14ac:dyDescent="0.2">
      <c r="D31" s="209" t="s">
        <v>93</v>
      </c>
      <c r="E31" s="210">
        <f>SUM(E3:E6,E20,E22)</f>
        <v>12430756.01</v>
      </c>
      <c r="F31" s="210">
        <f>SUM(F3:F6,F20,F22)</f>
        <v>1004</v>
      </c>
      <c r="G31" s="210">
        <f>SUM(G3:G6,G20,G22)</f>
        <v>738</v>
      </c>
      <c r="H31" s="210">
        <f>SUM(H3:H6,H20,H22)</f>
        <v>674</v>
      </c>
      <c r="I31" s="212"/>
      <c r="K31" s="393">
        <f>SUM(H31)/G31*100</f>
        <v>91.327913279132787</v>
      </c>
    </row>
    <row r="32" spans="1:11" x14ac:dyDescent="0.2">
      <c r="D32" s="418" t="s">
        <v>105</v>
      </c>
      <c r="E32" s="419">
        <f>E3+E4+E5+E6+E20+E22</f>
        <v>12430756.01</v>
      </c>
      <c r="I32" s="212"/>
    </row>
    <row r="33" spans="4:11" x14ac:dyDescent="0.2">
      <c r="E33" s="205">
        <f>SUM(E3:E20,E22,E24:E27)</f>
        <v>13064326.49</v>
      </c>
      <c r="I33" s="212"/>
    </row>
    <row r="34" spans="4:11" x14ac:dyDescent="0.2">
      <c r="D34" s="209" t="s">
        <v>295</v>
      </c>
      <c r="E34" s="210">
        <f>SUM(E3:E6,E15,E20,E22)</f>
        <v>13033756.01</v>
      </c>
      <c r="F34" s="210">
        <f>SUM(F3:F6,F15,F20,F22)</f>
        <v>1062</v>
      </c>
      <c r="G34" s="210">
        <f>SUM(G3:G6,G15,G20,G22)</f>
        <v>776</v>
      </c>
      <c r="H34" s="210">
        <f>SUM(H3:H6,H15,H20,H22)</f>
        <v>709</v>
      </c>
      <c r="I34" s="212"/>
      <c r="K34" s="393">
        <f>SUM(H34)/G34*100</f>
        <v>91.365979381443296</v>
      </c>
    </row>
    <row r="35" spans="4:11" x14ac:dyDescent="0.2">
      <c r="D35" s="418" t="s">
        <v>105</v>
      </c>
      <c r="E35" s="419">
        <f>E3+E4+E5+E6+E15+E20+E22</f>
        <v>13033756.01</v>
      </c>
      <c r="F35" s="202"/>
      <c r="G35" s="202"/>
      <c r="H35" s="202"/>
    </row>
    <row r="36" spans="4:11" x14ac:dyDescent="0.2">
      <c r="D36" s="204"/>
      <c r="E36" s="205">
        <f>SUM(E3:E20,E22,E24:E27)</f>
        <v>13064326.49</v>
      </c>
      <c r="F36" s="202"/>
      <c r="G36" s="202"/>
      <c r="H36" s="202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Arkusz28">
    <tabColor theme="9" tint="0.59999389629810485"/>
  </sheetPr>
  <dimension ref="A1:K36"/>
  <sheetViews>
    <sheetView zoomScale="80" zoomScaleNormal="80" workbookViewId="0"/>
  </sheetViews>
  <sheetFormatPr defaultRowHeight="14.25" x14ac:dyDescent="0.2"/>
  <cols>
    <col min="1" max="3" width="9.140625" style="204"/>
    <col min="4" max="4" width="9.140625" style="202"/>
    <col min="5" max="5" width="13.85546875" style="204" customWidth="1"/>
    <col min="6" max="6" width="11.85546875" style="204" customWidth="1"/>
    <col min="7" max="7" width="11.7109375" style="204" customWidth="1"/>
    <col min="8" max="8" width="11.140625" style="204" customWidth="1"/>
    <col min="9" max="10" width="5.85546875" style="204" customWidth="1"/>
    <col min="11" max="16384" width="9.140625" style="204"/>
  </cols>
  <sheetData>
    <row r="1" spans="1:10" s="394" customFormat="1" x14ac:dyDescent="0.2">
      <c r="A1" s="392" t="s">
        <v>22</v>
      </c>
      <c r="B1" s="392" t="s">
        <v>23</v>
      </c>
      <c r="C1" s="392" t="s">
        <v>24</v>
      </c>
      <c r="D1" s="392" t="s">
        <v>25</v>
      </c>
      <c r="E1" s="393" t="s">
        <v>95</v>
      </c>
      <c r="F1" s="393" t="s">
        <v>53</v>
      </c>
      <c r="G1" s="393" t="s">
        <v>54</v>
      </c>
      <c r="H1" s="393" t="s">
        <v>94</v>
      </c>
    </row>
    <row r="2" spans="1:10" x14ac:dyDescent="0.2">
      <c r="A2" s="202" t="s">
        <v>352</v>
      </c>
      <c r="B2" s="202" t="s">
        <v>26</v>
      </c>
      <c r="C2" s="202" t="s">
        <v>359</v>
      </c>
      <c r="D2" s="202" t="s">
        <v>27</v>
      </c>
      <c r="E2" s="205">
        <v>11097927.65</v>
      </c>
      <c r="F2" s="205">
        <v>1086</v>
      </c>
      <c r="G2" s="205">
        <v>757</v>
      </c>
      <c r="H2" s="205">
        <v>673</v>
      </c>
    </row>
    <row r="3" spans="1:10" x14ac:dyDescent="0.2">
      <c r="A3" s="202" t="s">
        <v>352</v>
      </c>
      <c r="B3" s="202" t="s">
        <v>26</v>
      </c>
      <c r="C3" s="202" t="s">
        <v>359</v>
      </c>
      <c r="D3" s="202" t="s">
        <v>28</v>
      </c>
      <c r="E3" s="393">
        <v>2973482.03</v>
      </c>
      <c r="F3" s="393">
        <v>380</v>
      </c>
      <c r="G3" s="393">
        <v>252</v>
      </c>
      <c r="H3" s="393">
        <v>199</v>
      </c>
      <c r="I3" s="417" t="s">
        <v>28</v>
      </c>
      <c r="J3" s="417">
        <v>1</v>
      </c>
    </row>
    <row r="4" spans="1:10" x14ac:dyDescent="0.2">
      <c r="A4" s="202" t="s">
        <v>352</v>
      </c>
      <c r="B4" s="202" t="s">
        <v>26</v>
      </c>
      <c r="C4" s="202" t="s">
        <v>359</v>
      </c>
      <c r="D4" s="202" t="s">
        <v>29</v>
      </c>
      <c r="E4" s="393">
        <v>102515</v>
      </c>
      <c r="F4" s="393">
        <v>20</v>
      </c>
      <c r="G4" s="393">
        <v>19</v>
      </c>
      <c r="H4" s="393">
        <v>10</v>
      </c>
      <c r="I4" s="417" t="s">
        <v>29</v>
      </c>
      <c r="J4" s="417">
        <v>2</v>
      </c>
    </row>
    <row r="5" spans="1:10" x14ac:dyDescent="0.2">
      <c r="A5" s="202" t="s">
        <v>352</v>
      </c>
      <c r="B5" s="202" t="s">
        <v>26</v>
      </c>
      <c r="C5" s="202" t="s">
        <v>359</v>
      </c>
      <c r="D5" s="202" t="s">
        <v>30</v>
      </c>
      <c r="E5" s="393">
        <v>1842272.13</v>
      </c>
      <c r="F5" s="393">
        <v>366</v>
      </c>
      <c r="G5" s="393">
        <v>240</v>
      </c>
      <c r="H5" s="393">
        <v>237</v>
      </c>
      <c r="I5" s="417" t="s">
        <v>30</v>
      </c>
      <c r="J5" s="417">
        <v>3</v>
      </c>
    </row>
    <row r="6" spans="1:10" x14ac:dyDescent="0.2">
      <c r="A6" s="202" t="s">
        <v>352</v>
      </c>
      <c r="B6" s="202" t="s">
        <v>26</v>
      </c>
      <c r="C6" s="202" t="s">
        <v>359</v>
      </c>
      <c r="D6" s="202" t="s">
        <v>31</v>
      </c>
      <c r="E6" s="393">
        <v>158211.66</v>
      </c>
      <c r="F6" s="393">
        <v>13</v>
      </c>
      <c r="G6" s="393">
        <v>12</v>
      </c>
      <c r="H6" s="393">
        <v>9</v>
      </c>
      <c r="I6" s="417" t="s">
        <v>31</v>
      </c>
      <c r="J6" s="417">
        <v>4</v>
      </c>
    </row>
    <row r="7" spans="1:10" x14ac:dyDescent="0.2">
      <c r="A7" s="202" t="s">
        <v>352</v>
      </c>
      <c r="B7" s="202" t="s">
        <v>26</v>
      </c>
      <c r="C7" s="202" t="s">
        <v>359</v>
      </c>
      <c r="D7" s="202" t="s">
        <v>32</v>
      </c>
      <c r="E7" s="205">
        <v>13581.4</v>
      </c>
      <c r="F7" s="205">
        <v>14</v>
      </c>
      <c r="G7" s="205">
        <v>11</v>
      </c>
      <c r="H7" s="205">
        <v>0</v>
      </c>
      <c r="I7" s="206"/>
    </row>
    <row r="8" spans="1:10" x14ac:dyDescent="0.2">
      <c r="A8" s="202" t="s">
        <v>352</v>
      </c>
      <c r="B8" s="202" t="s">
        <v>26</v>
      </c>
      <c r="C8" s="202" t="s">
        <v>359</v>
      </c>
      <c r="D8" s="202" t="s">
        <v>33</v>
      </c>
      <c r="E8" s="205">
        <v>0</v>
      </c>
      <c r="F8" s="205">
        <v>0</v>
      </c>
      <c r="G8" s="205">
        <v>0</v>
      </c>
      <c r="H8" s="205">
        <v>0</v>
      </c>
      <c r="I8" s="206"/>
    </row>
    <row r="9" spans="1:10" x14ac:dyDescent="0.2">
      <c r="A9" s="202" t="s">
        <v>352</v>
      </c>
      <c r="B9" s="202" t="s">
        <v>26</v>
      </c>
      <c r="C9" s="202" t="s">
        <v>359</v>
      </c>
      <c r="D9" s="202" t="s">
        <v>34</v>
      </c>
      <c r="E9" s="205">
        <v>0</v>
      </c>
      <c r="F9" s="205">
        <v>0</v>
      </c>
      <c r="G9" s="205">
        <v>0</v>
      </c>
      <c r="H9" s="205">
        <v>0</v>
      </c>
      <c r="I9" s="206"/>
    </row>
    <row r="10" spans="1:10" x14ac:dyDescent="0.2">
      <c r="A10" s="202" t="s">
        <v>352</v>
      </c>
      <c r="B10" s="202" t="s">
        <v>26</v>
      </c>
      <c r="C10" s="202" t="s">
        <v>359</v>
      </c>
      <c r="D10" s="202" t="s">
        <v>35</v>
      </c>
      <c r="E10" s="205">
        <v>0</v>
      </c>
      <c r="F10" s="205">
        <v>0</v>
      </c>
      <c r="G10" s="205">
        <v>0</v>
      </c>
      <c r="H10" s="205">
        <v>0</v>
      </c>
      <c r="I10" s="206"/>
    </row>
    <row r="11" spans="1:10" x14ac:dyDescent="0.2">
      <c r="A11" s="202" t="s">
        <v>352</v>
      </c>
      <c r="B11" s="202" t="s">
        <v>26</v>
      </c>
      <c r="C11" s="202" t="s">
        <v>359</v>
      </c>
      <c r="D11" s="202" t="s">
        <v>36</v>
      </c>
      <c r="E11" s="205">
        <v>0</v>
      </c>
      <c r="F11" s="205">
        <v>0</v>
      </c>
      <c r="G11" s="205">
        <v>0</v>
      </c>
      <c r="H11" s="205">
        <v>0</v>
      </c>
      <c r="I11" s="206"/>
    </row>
    <row r="12" spans="1:10" x14ac:dyDescent="0.2">
      <c r="A12" s="202" t="s">
        <v>352</v>
      </c>
      <c r="B12" s="202" t="s">
        <v>26</v>
      </c>
      <c r="C12" s="202" t="s">
        <v>359</v>
      </c>
      <c r="D12" s="202" t="s">
        <v>37</v>
      </c>
      <c r="E12" s="205">
        <v>0</v>
      </c>
      <c r="F12" s="205">
        <v>0</v>
      </c>
      <c r="G12" s="205">
        <v>0</v>
      </c>
      <c r="H12" s="205">
        <v>0</v>
      </c>
      <c r="I12" s="206"/>
    </row>
    <row r="13" spans="1:10" x14ac:dyDescent="0.2">
      <c r="A13" s="202" t="s">
        <v>352</v>
      </c>
      <c r="B13" s="202" t="s">
        <v>26</v>
      </c>
      <c r="C13" s="202" t="s">
        <v>359</v>
      </c>
      <c r="D13" s="202" t="s">
        <v>26</v>
      </c>
      <c r="E13" s="205">
        <v>24164.53</v>
      </c>
      <c r="F13" s="205">
        <v>11</v>
      </c>
      <c r="G13" s="205">
        <v>0</v>
      </c>
      <c r="H13" s="205">
        <v>0</v>
      </c>
      <c r="I13" s="206"/>
    </row>
    <row r="14" spans="1:10" x14ac:dyDescent="0.2">
      <c r="A14" s="202" t="s">
        <v>352</v>
      </c>
      <c r="B14" s="202" t="s">
        <v>26</v>
      </c>
      <c r="C14" s="202" t="s">
        <v>359</v>
      </c>
      <c r="D14" s="202" t="s">
        <v>38</v>
      </c>
      <c r="E14" s="205">
        <v>0</v>
      </c>
      <c r="F14" s="205">
        <v>0</v>
      </c>
      <c r="G14" s="205">
        <v>0</v>
      </c>
      <c r="H14" s="205">
        <v>0</v>
      </c>
      <c r="I14" s="206"/>
    </row>
    <row r="15" spans="1:10" x14ac:dyDescent="0.2">
      <c r="A15" s="202" t="s">
        <v>352</v>
      </c>
      <c r="B15" s="202" t="s">
        <v>26</v>
      </c>
      <c r="C15" s="202" t="s">
        <v>359</v>
      </c>
      <c r="D15" s="202" t="s">
        <v>39</v>
      </c>
      <c r="E15" s="393">
        <v>375500</v>
      </c>
      <c r="F15" s="393">
        <v>47</v>
      </c>
      <c r="G15" s="393">
        <v>35</v>
      </c>
      <c r="H15" s="393">
        <v>32</v>
      </c>
      <c r="I15" s="213"/>
      <c r="J15" s="417">
        <v>7</v>
      </c>
    </row>
    <row r="16" spans="1:10" x14ac:dyDescent="0.2">
      <c r="A16" s="202" t="s">
        <v>352</v>
      </c>
      <c r="B16" s="202" t="s">
        <v>26</v>
      </c>
      <c r="C16" s="202" t="s">
        <v>359</v>
      </c>
      <c r="D16" s="202" t="s">
        <v>40</v>
      </c>
      <c r="E16" s="205">
        <v>10695.98</v>
      </c>
      <c r="F16" s="205">
        <v>2</v>
      </c>
      <c r="G16" s="205">
        <v>2</v>
      </c>
      <c r="H16" s="205">
        <v>2</v>
      </c>
      <c r="I16" s="206"/>
    </row>
    <row r="17" spans="1:11" x14ac:dyDescent="0.2">
      <c r="A17" s="202" t="s">
        <v>352</v>
      </c>
      <c r="B17" s="202" t="s">
        <v>26</v>
      </c>
      <c r="C17" s="202" t="s">
        <v>359</v>
      </c>
      <c r="D17" s="202" t="s">
        <v>41</v>
      </c>
      <c r="E17" s="205">
        <v>0</v>
      </c>
      <c r="F17" s="205">
        <v>0</v>
      </c>
      <c r="G17" s="205">
        <v>0</v>
      </c>
      <c r="H17" s="205">
        <v>0</v>
      </c>
      <c r="I17" s="206"/>
    </row>
    <row r="18" spans="1:11" x14ac:dyDescent="0.2">
      <c r="A18" s="202" t="s">
        <v>352</v>
      </c>
      <c r="B18" s="202" t="s">
        <v>26</v>
      </c>
      <c r="C18" s="202" t="s">
        <v>359</v>
      </c>
      <c r="D18" s="202" t="s">
        <v>42</v>
      </c>
      <c r="E18" s="205">
        <v>0</v>
      </c>
      <c r="F18" s="205">
        <v>0</v>
      </c>
      <c r="G18" s="205">
        <v>0</v>
      </c>
      <c r="H18" s="205">
        <v>0</v>
      </c>
      <c r="I18" s="206"/>
    </row>
    <row r="19" spans="1:11" x14ac:dyDescent="0.2">
      <c r="A19" s="202" t="s">
        <v>352</v>
      </c>
      <c r="B19" s="202" t="s">
        <v>26</v>
      </c>
      <c r="C19" s="202" t="s">
        <v>359</v>
      </c>
      <c r="D19" s="202" t="s">
        <v>43</v>
      </c>
      <c r="E19" s="205">
        <v>0</v>
      </c>
      <c r="F19" s="205">
        <v>0</v>
      </c>
      <c r="G19" s="205">
        <v>0</v>
      </c>
      <c r="H19" s="205">
        <v>0</v>
      </c>
      <c r="I19" s="206"/>
    </row>
    <row r="20" spans="1:11" x14ac:dyDescent="0.2">
      <c r="A20" s="202" t="s">
        <v>352</v>
      </c>
      <c r="B20" s="202" t="s">
        <v>26</v>
      </c>
      <c r="C20" s="202" t="s">
        <v>359</v>
      </c>
      <c r="D20" s="202" t="s">
        <v>44</v>
      </c>
      <c r="E20" s="393">
        <v>2770820.32</v>
      </c>
      <c r="F20" s="393">
        <v>118</v>
      </c>
      <c r="G20" s="393">
        <v>115</v>
      </c>
      <c r="H20" s="393">
        <v>115</v>
      </c>
      <c r="I20" s="417">
        <v>19</v>
      </c>
      <c r="J20" s="417">
        <v>5</v>
      </c>
    </row>
    <row r="21" spans="1:11" x14ac:dyDescent="0.2">
      <c r="A21" s="202" t="s">
        <v>352</v>
      </c>
      <c r="B21" s="202" t="s">
        <v>26</v>
      </c>
      <c r="C21" s="202" t="s">
        <v>359</v>
      </c>
      <c r="D21" s="202" t="s">
        <v>45</v>
      </c>
      <c r="E21" s="205">
        <v>0</v>
      </c>
      <c r="F21" s="205">
        <v>0</v>
      </c>
      <c r="G21" s="205">
        <v>0</v>
      </c>
      <c r="H21" s="205">
        <v>0</v>
      </c>
      <c r="I21" s="206"/>
    </row>
    <row r="22" spans="1:11" x14ac:dyDescent="0.2">
      <c r="A22" s="202" t="s">
        <v>352</v>
      </c>
      <c r="B22" s="202" t="s">
        <v>26</v>
      </c>
      <c r="C22" s="202" t="s">
        <v>359</v>
      </c>
      <c r="D22" s="202" t="s">
        <v>46</v>
      </c>
      <c r="E22" s="393">
        <v>2826684.6</v>
      </c>
      <c r="F22" s="393">
        <v>115</v>
      </c>
      <c r="G22" s="393">
        <v>71</v>
      </c>
      <c r="H22" s="393">
        <v>69</v>
      </c>
      <c r="I22" s="417" t="s">
        <v>46</v>
      </c>
      <c r="J22" s="417">
        <v>6</v>
      </c>
    </row>
    <row r="23" spans="1:11" x14ac:dyDescent="0.2">
      <c r="A23" s="202" t="s">
        <v>352</v>
      </c>
      <c r="B23" s="202" t="s">
        <v>26</v>
      </c>
      <c r="C23" s="202" t="s">
        <v>359</v>
      </c>
      <c r="D23" s="202" t="s">
        <v>47</v>
      </c>
      <c r="E23" s="205">
        <v>0</v>
      </c>
      <c r="F23" s="205">
        <v>0</v>
      </c>
      <c r="G23" s="205">
        <v>0</v>
      </c>
      <c r="H23" s="205">
        <v>0</v>
      </c>
    </row>
    <row r="24" spans="1:11" x14ac:dyDescent="0.2">
      <c r="A24" s="202" t="s">
        <v>352</v>
      </c>
      <c r="B24" s="202" t="s">
        <v>26</v>
      </c>
      <c r="C24" s="202" t="s">
        <v>359</v>
      </c>
      <c r="D24" s="202" t="s">
        <v>48</v>
      </c>
      <c r="E24" s="205">
        <v>0</v>
      </c>
      <c r="F24" s="205">
        <v>0</v>
      </c>
      <c r="G24" s="205">
        <v>0</v>
      </c>
      <c r="H24" s="205">
        <v>0</v>
      </c>
    </row>
    <row r="25" spans="1:11" x14ac:dyDescent="0.2">
      <c r="A25" s="202" t="s">
        <v>352</v>
      </c>
      <c r="B25" s="202" t="s">
        <v>26</v>
      </c>
      <c r="C25" s="202" t="s">
        <v>359</v>
      </c>
      <c r="D25" s="202" t="s">
        <v>354</v>
      </c>
      <c r="E25" s="205">
        <v>0</v>
      </c>
      <c r="F25" s="205">
        <v>0</v>
      </c>
      <c r="G25" s="205">
        <v>0</v>
      </c>
      <c r="H25" s="205">
        <v>0</v>
      </c>
    </row>
    <row r="26" spans="1:11" x14ac:dyDescent="0.2">
      <c r="A26" s="202" t="s">
        <v>352</v>
      </c>
      <c r="B26" s="202" t="s">
        <v>26</v>
      </c>
      <c r="C26" s="202" t="s">
        <v>359</v>
      </c>
      <c r="D26" s="202" t="s">
        <v>355</v>
      </c>
      <c r="E26" s="205">
        <v>0</v>
      </c>
      <c r="F26" s="205">
        <v>0</v>
      </c>
      <c r="G26" s="205">
        <v>0</v>
      </c>
      <c r="H26" s="205">
        <v>0</v>
      </c>
    </row>
    <row r="27" spans="1:11" x14ac:dyDescent="0.2">
      <c r="A27" s="202" t="s">
        <v>352</v>
      </c>
      <c r="B27" s="202" t="s">
        <v>26</v>
      </c>
      <c r="C27" s="202" t="s">
        <v>359</v>
      </c>
      <c r="D27" s="202" t="s">
        <v>356</v>
      </c>
      <c r="E27" s="205">
        <v>0</v>
      </c>
      <c r="F27" s="205">
        <v>0</v>
      </c>
      <c r="G27" s="205">
        <v>0</v>
      </c>
      <c r="H27" s="205">
        <v>0</v>
      </c>
    </row>
    <row r="28" spans="1:11" x14ac:dyDescent="0.2">
      <c r="A28" s="254" t="s">
        <v>352</v>
      </c>
      <c r="B28" s="254" t="s">
        <v>26</v>
      </c>
      <c r="C28" s="254" t="s">
        <v>359</v>
      </c>
      <c r="D28" s="254" t="s">
        <v>357</v>
      </c>
      <c r="E28" s="255">
        <v>22195855.300000001</v>
      </c>
      <c r="F28" s="255">
        <v>2172</v>
      </c>
      <c r="G28" s="255">
        <v>1514</v>
      </c>
      <c r="H28" s="255">
        <v>1346</v>
      </c>
    </row>
    <row r="29" spans="1:11" x14ac:dyDescent="0.2">
      <c r="A29" s="202" t="s">
        <v>352</v>
      </c>
      <c r="B29" s="202" t="s">
        <v>26</v>
      </c>
      <c r="C29" s="202" t="s">
        <v>359</v>
      </c>
      <c r="D29" s="202" t="s">
        <v>49</v>
      </c>
      <c r="E29" s="205">
        <v>120</v>
      </c>
      <c r="F29" s="205">
        <v>0</v>
      </c>
      <c r="G29" s="205">
        <v>0</v>
      </c>
      <c r="H29" s="205">
        <v>0</v>
      </c>
    </row>
    <row r="30" spans="1:11" x14ac:dyDescent="0.2">
      <c r="A30" s="202" t="s">
        <v>352</v>
      </c>
      <c r="B30" s="202" t="s">
        <v>26</v>
      </c>
      <c r="C30" s="202" t="s">
        <v>359</v>
      </c>
      <c r="D30" s="202" t="s">
        <v>50</v>
      </c>
      <c r="E30" s="205">
        <v>30</v>
      </c>
      <c r="F30" s="205">
        <v>0</v>
      </c>
      <c r="G30" s="205">
        <v>0</v>
      </c>
      <c r="H30" s="205">
        <v>0</v>
      </c>
    </row>
    <row r="31" spans="1:11" x14ac:dyDescent="0.2">
      <c r="D31" s="209" t="s">
        <v>93</v>
      </c>
      <c r="E31" s="210">
        <f>SUM(E3:E6,E20,E22)</f>
        <v>10673985.74</v>
      </c>
      <c r="F31" s="210">
        <f>SUM(F3:F6,F20,F22)</f>
        <v>1012</v>
      </c>
      <c r="G31" s="210">
        <f>SUM(G3:G6,G20,G22)</f>
        <v>709</v>
      </c>
      <c r="H31" s="210">
        <f>SUM(H3:H6,H20,H22)</f>
        <v>639</v>
      </c>
      <c r="I31" s="212"/>
      <c r="K31" s="393">
        <f>SUM(H31)/G31*100</f>
        <v>90.126939351198871</v>
      </c>
    </row>
    <row r="32" spans="1:11" x14ac:dyDescent="0.2">
      <c r="D32" s="418" t="s">
        <v>105</v>
      </c>
      <c r="E32" s="419">
        <f>E3+E4+E5+E6+E20+E22</f>
        <v>10673985.74</v>
      </c>
      <c r="I32" s="212"/>
    </row>
    <row r="33" spans="4:11" x14ac:dyDescent="0.2">
      <c r="E33" s="205">
        <f>SUM(E3:E20,E22,E24:E27)</f>
        <v>11097927.65</v>
      </c>
      <c r="I33" s="212"/>
    </row>
    <row r="34" spans="4:11" x14ac:dyDescent="0.2">
      <c r="D34" s="209" t="s">
        <v>295</v>
      </c>
      <c r="E34" s="210">
        <f>SUM(E3:E6,E15,E20,E22)</f>
        <v>11049485.74</v>
      </c>
      <c r="F34" s="210">
        <f>SUM(F3:F6,F15,F20,F22)</f>
        <v>1059</v>
      </c>
      <c r="G34" s="210">
        <f>SUM(G3:G6,G15,G20,G22)</f>
        <v>744</v>
      </c>
      <c r="H34" s="210">
        <f>SUM(H3:H6,H15,H20,H22)</f>
        <v>671</v>
      </c>
      <c r="I34" s="212"/>
      <c r="K34" s="393">
        <f>SUM(H34)/G34*100</f>
        <v>90.188172043010752</v>
      </c>
    </row>
    <row r="35" spans="4:11" x14ac:dyDescent="0.2">
      <c r="D35" s="418" t="s">
        <v>105</v>
      </c>
      <c r="E35" s="419">
        <f>E3+E4+E5+E6+E15+E20+E22</f>
        <v>11049485.74</v>
      </c>
      <c r="F35" s="202"/>
      <c r="G35" s="202"/>
      <c r="H35" s="202"/>
    </row>
    <row r="36" spans="4:11" x14ac:dyDescent="0.2">
      <c r="D36" s="204"/>
      <c r="E36" s="205">
        <f>SUM(E3:E20,E22,E24:E27)</f>
        <v>11097927.65</v>
      </c>
      <c r="F36" s="202"/>
      <c r="G36" s="202"/>
      <c r="H36" s="202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Arkusz29">
    <tabColor theme="9" tint="0.59999389629810485"/>
  </sheetPr>
  <dimension ref="A1:K36"/>
  <sheetViews>
    <sheetView zoomScale="80" zoomScaleNormal="80" workbookViewId="0"/>
  </sheetViews>
  <sheetFormatPr defaultRowHeight="14.25" x14ac:dyDescent="0.2"/>
  <cols>
    <col min="1" max="3" width="9.140625" style="204"/>
    <col min="4" max="4" width="9.140625" style="202"/>
    <col min="5" max="5" width="12.85546875" style="204" customWidth="1"/>
    <col min="6" max="6" width="11.85546875" style="204" customWidth="1"/>
    <col min="7" max="7" width="11.7109375" style="204" customWidth="1"/>
    <col min="8" max="8" width="11.140625" style="204" customWidth="1"/>
    <col min="9" max="10" width="5.85546875" style="204" customWidth="1"/>
    <col min="11" max="16384" width="9.140625" style="204"/>
  </cols>
  <sheetData>
    <row r="1" spans="1:10" s="394" customFormat="1" x14ac:dyDescent="0.2">
      <c r="A1" s="392" t="s">
        <v>22</v>
      </c>
      <c r="B1" s="392" t="s">
        <v>23</v>
      </c>
      <c r="C1" s="392" t="s">
        <v>24</v>
      </c>
      <c r="D1" s="392" t="s">
        <v>25</v>
      </c>
      <c r="E1" s="393" t="s">
        <v>95</v>
      </c>
      <c r="F1" s="393" t="s">
        <v>53</v>
      </c>
      <c r="G1" s="393" t="s">
        <v>54</v>
      </c>
      <c r="H1" s="393" t="s">
        <v>94</v>
      </c>
    </row>
    <row r="2" spans="1:10" x14ac:dyDescent="0.2">
      <c r="A2" s="202" t="s">
        <v>352</v>
      </c>
      <c r="B2" s="202" t="s">
        <v>26</v>
      </c>
      <c r="C2" s="202" t="s">
        <v>360</v>
      </c>
      <c r="D2" s="202" t="s">
        <v>27</v>
      </c>
      <c r="E2" s="205">
        <v>21962810.620000001</v>
      </c>
      <c r="F2" s="205">
        <v>1695</v>
      </c>
      <c r="G2" s="205">
        <v>1298</v>
      </c>
      <c r="H2" s="205">
        <v>1188</v>
      </c>
    </row>
    <row r="3" spans="1:10" x14ac:dyDescent="0.2">
      <c r="A3" s="202" t="s">
        <v>352</v>
      </c>
      <c r="B3" s="202" t="s">
        <v>26</v>
      </c>
      <c r="C3" s="202" t="s">
        <v>360</v>
      </c>
      <c r="D3" s="202" t="s">
        <v>28</v>
      </c>
      <c r="E3" s="393">
        <v>4468879.42</v>
      </c>
      <c r="F3" s="393">
        <v>538</v>
      </c>
      <c r="G3" s="393">
        <v>386</v>
      </c>
      <c r="H3" s="393">
        <v>334</v>
      </c>
      <c r="I3" s="417" t="s">
        <v>28</v>
      </c>
      <c r="J3" s="417">
        <v>1</v>
      </c>
    </row>
    <row r="4" spans="1:10" x14ac:dyDescent="0.2">
      <c r="A4" s="202" t="s">
        <v>352</v>
      </c>
      <c r="B4" s="202" t="s">
        <v>26</v>
      </c>
      <c r="C4" s="202" t="s">
        <v>360</v>
      </c>
      <c r="D4" s="202" t="s">
        <v>29</v>
      </c>
      <c r="E4" s="393">
        <v>521924</v>
      </c>
      <c r="F4" s="393">
        <v>81</v>
      </c>
      <c r="G4" s="393">
        <v>75</v>
      </c>
      <c r="H4" s="393">
        <v>50</v>
      </c>
      <c r="I4" s="417" t="s">
        <v>29</v>
      </c>
      <c r="J4" s="417">
        <v>2</v>
      </c>
    </row>
    <row r="5" spans="1:10" x14ac:dyDescent="0.2">
      <c r="A5" s="202" t="s">
        <v>352</v>
      </c>
      <c r="B5" s="202" t="s">
        <v>26</v>
      </c>
      <c r="C5" s="202" t="s">
        <v>360</v>
      </c>
      <c r="D5" s="202" t="s">
        <v>30</v>
      </c>
      <c r="E5" s="393">
        <v>2589478.54</v>
      </c>
      <c r="F5" s="393">
        <v>408</v>
      </c>
      <c r="G5" s="393">
        <v>270</v>
      </c>
      <c r="H5" s="393">
        <v>263</v>
      </c>
      <c r="I5" s="417" t="s">
        <v>30</v>
      </c>
      <c r="J5" s="417">
        <v>3</v>
      </c>
    </row>
    <row r="6" spans="1:10" x14ac:dyDescent="0.2">
      <c r="A6" s="202" t="s">
        <v>352</v>
      </c>
      <c r="B6" s="202" t="s">
        <v>26</v>
      </c>
      <c r="C6" s="202" t="s">
        <v>360</v>
      </c>
      <c r="D6" s="202" t="s">
        <v>31</v>
      </c>
      <c r="E6" s="393">
        <v>4868230.8600000003</v>
      </c>
      <c r="F6" s="393">
        <v>286</v>
      </c>
      <c r="G6" s="393">
        <v>267</v>
      </c>
      <c r="H6" s="393">
        <v>266</v>
      </c>
      <c r="I6" s="417" t="s">
        <v>31</v>
      </c>
      <c r="J6" s="417">
        <v>4</v>
      </c>
    </row>
    <row r="7" spans="1:10" x14ac:dyDescent="0.2">
      <c r="A7" s="202" t="s">
        <v>352</v>
      </c>
      <c r="B7" s="202" t="s">
        <v>26</v>
      </c>
      <c r="C7" s="202" t="s">
        <v>360</v>
      </c>
      <c r="D7" s="202" t="s">
        <v>32</v>
      </c>
      <c r="E7" s="205">
        <v>0</v>
      </c>
      <c r="F7" s="205">
        <v>0</v>
      </c>
      <c r="G7" s="205">
        <v>0</v>
      </c>
      <c r="H7" s="205">
        <v>0</v>
      </c>
      <c r="I7" s="206"/>
    </row>
    <row r="8" spans="1:10" x14ac:dyDescent="0.2">
      <c r="A8" s="202" t="s">
        <v>352</v>
      </c>
      <c r="B8" s="202" t="s">
        <v>26</v>
      </c>
      <c r="C8" s="202" t="s">
        <v>360</v>
      </c>
      <c r="D8" s="202" t="s">
        <v>33</v>
      </c>
      <c r="E8" s="205">
        <v>0</v>
      </c>
      <c r="F8" s="205">
        <v>0</v>
      </c>
      <c r="G8" s="205">
        <v>0</v>
      </c>
      <c r="H8" s="205">
        <v>0</v>
      </c>
      <c r="I8" s="206"/>
    </row>
    <row r="9" spans="1:10" x14ac:dyDescent="0.2">
      <c r="A9" s="202" t="s">
        <v>352</v>
      </c>
      <c r="B9" s="202" t="s">
        <v>26</v>
      </c>
      <c r="C9" s="202" t="s">
        <v>360</v>
      </c>
      <c r="D9" s="202" t="s">
        <v>34</v>
      </c>
      <c r="E9" s="205">
        <v>0</v>
      </c>
      <c r="F9" s="205">
        <v>0</v>
      </c>
      <c r="G9" s="205">
        <v>0</v>
      </c>
      <c r="H9" s="205">
        <v>0</v>
      </c>
      <c r="I9" s="206"/>
    </row>
    <row r="10" spans="1:10" x14ac:dyDescent="0.2">
      <c r="A10" s="202" t="s">
        <v>352</v>
      </c>
      <c r="B10" s="202" t="s">
        <v>26</v>
      </c>
      <c r="C10" s="202" t="s">
        <v>360</v>
      </c>
      <c r="D10" s="202" t="s">
        <v>35</v>
      </c>
      <c r="E10" s="205">
        <v>0</v>
      </c>
      <c r="F10" s="205">
        <v>0</v>
      </c>
      <c r="G10" s="205">
        <v>0</v>
      </c>
      <c r="H10" s="205">
        <v>0</v>
      </c>
      <c r="I10" s="206"/>
    </row>
    <row r="11" spans="1:10" x14ac:dyDescent="0.2">
      <c r="A11" s="202" t="s">
        <v>352</v>
      </c>
      <c r="B11" s="202" t="s">
        <v>26</v>
      </c>
      <c r="C11" s="202" t="s">
        <v>360</v>
      </c>
      <c r="D11" s="202" t="s">
        <v>36</v>
      </c>
      <c r="E11" s="205">
        <v>0</v>
      </c>
      <c r="F11" s="205">
        <v>0</v>
      </c>
      <c r="G11" s="205">
        <v>0</v>
      </c>
      <c r="H11" s="205">
        <v>0</v>
      </c>
      <c r="I11" s="206"/>
    </row>
    <row r="12" spans="1:10" x14ac:dyDescent="0.2">
      <c r="A12" s="202" t="s">
        <v>352</v>
      </c>
      <c r="B12" s="202" t="s">
        <v>26</v>
      </c>
      <c r="C12" s="202" t="s">
        <v>360</v>
      </c>
      <c r="D12" s="202" t="s">
        <v>37</v>
      </c>
      <c r="E12" s="205">
        <v>0</v>
      </c>
      <c r="F12" s="205">
        <v>0</v>
      </c>
      <c r="G12" s="205">
        <v>0</v>
      </c>
      <c r="H12" s="205">
        <v>0</v>
      </c>
      <c r="I12" s="206"/>
    </row>
    <row r="13" spans="1:10" x14ac:dyDescent="0.2">
      <c r="A13" s="202" t="s">
        <v>352</v>
      </c>
      <c r="B13" s="202" t="s">
        <v>26</v>
      </c>
      <c r="C13" s="202" t="s">
        <v>360</v>
      </c>
      <c r="D13" s="202" t="s">
        <v>26</v>
      </c>
      <c r="E13" s="205">
        <v>75534.75</v>
      </c>
      <c r="F13" s="205">
        <v>17</v>
      </c>
      <c r="G13" s="205">
        <v>3</v>
      </c>
      <c r="H13" s="205">
        <v>1</v>
      </c>
      <c r="I13" s="206"/>
    </row>
    <row r="14" spans="1:10" x14ac:dyDescent="0.2">
      <c r="A14" s="202" t="s">
        <v>352</v>
      </c>
      <c r="B14" s="202" t="s">
        <v>26</v>
      </c>
      <c r="C14" s="202" t="s">
        <v>360</v>
      </c>
      <c r="D14" s="202" t="s">
        <v>38</v>
      </c>
      <c r="E14" s="205">
        <v>0</v>
      </c>
      <c r="F14" s="205">
        <v>0</v>
      </c>
      <c r="G14" s="205">
        <v>0</v>
      </c>
      <c r="H14" s="205">
        <v>0</v>
      </c>
      <c r="I14" s="206"/>
    </row>
    <row r="15" spans="1:10" x14ac:dyDescent="0.2">
      <c r="A15" s="202" t="s">
        <v>352</v>
      </c>
      <c r="B15" s="202" t="s">
        <v>26</v>
      </c>
      <c r="C15" s="202" t="s">
        <v>360</v>
      </c>
      <c r="D15" s="202" t="s">
        <v>39</v>
      </c>
      <c r="E15" s="393">
        <v>633452.78</v>
      </c>
      <c r="F15" s="393">
        <v>58</v>
      </c>
      <c r="G15" s="393">
        <v>57</v>
      </c>
      <c r="H15" s="393">
        <v>46</v>
      </c>
      <c r="I15" s="213"/>
      <c r="J15" s="417">
        <v>7</v>
      </c>
    </row>
    <row r="16" spans="1:10" x14ac:dyDescent="0.2">
      <c r="A16" s="202" t="s">
        <v>352</v>
      </c>
      <c r="B16" s="202" t="s">
        <v>26</v>
      </c>
      <c r="C16" s="202" t="s">
        <v>360</v>
      </c>
      <c r="D16" s="202" t="s">
        <v>40</v>
      </c>
      <c r="E16" s="205">
        <v>0</v>
      </c>
      <c r="F16" s="205">
        <v>0</v>
      </c>
      <c r="G16" s="205">
        <v>0</v>
      </c>
      <c r="H16" s="205">
        <v>0</v>
      </c>
      <c r="I16" s="206"/>
    </row>
    <row r="17" spans="1:11" x14ac:dyDescent="0.2">
      <c r="A17" s="202" t="s">
        <v>352</v>
      </c>
      <c r="B17" s="202" t="s">
        <v>26</v>
      </c>
      <c r="C17" s="202" t="s">
        <v>360</v>
      </c>
      <c r="D17" s="202" t="s">
        <v>41</v>
      </c>
      <c r="E17" s="205">
        <v>0</v>
      </c>
      <c r="F17" s="205">
        <v>0</v>
      </c>
      <c r="G17" s="205">
        <v>0</v>
      </c>
      <c r="H17" s="205">
        <v>0</v>
      </c>
      <c r="I17" s="206"/>
    </row>
    <row r="18" spans="1:11" x14ac:dyDescent="0.2">
      <c r="A18" s="202" t="s">
        <v>352</v>
      </c>
      <c r="B18" s="202" t="s">
        <v>26</v>
      </c>
      <c r="C18" s="202" t="s">
        <v>360</v>
      </c>
      <c r="D18" s="202" t="s">
        <v>42</v>
      </c>
      <c r="E18" s="205">
        <v>47156.160000000003</v>
      </c>
      <c r="F18" s="205">
        <v>11</v>
      </c>
      <c r="G18" s="205">
        <v>11</v>
      </c>
      <c r="H18" s="205">
        <v>0</v>
      </c>
      <c r="I18" s="206"/>
    </row>
    <row r="19" spans="1:11" x14ac:dyDescent="0.2">
      <c r="A19" s="202" t="s">
        <v>352</v>
      </c>
      <c r="B19" s="202" t="s">
        <v>26</v>
      </c>
      <c r="C19" s="202" t="s">
        <v>360</v>
      </c>
      <c r="D19" s="202" t="s">
        <v>43</v>
      </c>
      <c r="E19" s="205">
        <v>0</v>
      </c>
      <c r="F19" s="205">
        <v>0</v>
      </c>
      <c r="G19" s="205">
        <v>0</v>
      </c>
      <c r="H19" s="205">
        <v>0</v>
      </c>
      <c r="I19" s="206"/>
    </row>
    <row r="20" spans="1:11" x14ac:dyDescent="0.2">
      <c r="A20" s="202" t="s">
        <v>352</v>
      </c>
      <c r="B20" s="202" t="s">
        <v>26</v>
      </c>
      <c r="C20" s="202" t="s">
        <v>360</v>
      </c>
      <c r="D20" s="202" t="s">
        <v>44</v>
      </c>
      <c r="E20" s="393">
        <v>3689967.31</v>
      </c>
      <c r="F20" s="393">
        <v>134</v>
      </c>
      <c r="G20" s="393">
        <v>117</v>
      </c>
      <c r="H20" s="393">
        <v>117</v>
      </c>
      <c r="I20" s="417">
        <v>19</v>
      </c>
      <c r="J20" s="417">
        <v>5</v>
      </c>
    </row>
    <row r="21" spans="1:11" x14ac:dyDescent="0.2">
      <c r="A21" s="202" t="s">
        <v>352</v>
      </c>
      <c r="B21" s="202" t="s">
        <v>26</v>
      </c>
      <c r="C21" s="202" t="s">
        <v>360</v>
      </c>
      <c r="D21" s="202" t="s">
        <v>45</v>
      </c>
      <c r="E21" s="205">
        <v>0</v>
      </c>
      <c r="F21" s="205">
        <v>0</v>
      </c>
      <c r="G21" s="205">
        <v>0</v>
      </c>
      <c r="H21" s="205">
        <v>0</v>
      </c>
      <c r="I21" s="206"/>
    </row>
    <row r="22" spans="1:11" x14ac:dyDescent="0.2">
      <c r="A22" s="202" t="s">
        <v>352</v>
      </c>
      <c r="B22" s="202" t="s">
        <v>26</v>
      </c>
      <c r="C22" s="202" t="s">
        <v>360</v>
      </c>
      <c r="D22" s="202" t="s">
        <v>46</v>
      </c>
      <c r="E22" s="393">
        <v>5068186.8</v>
      </c>
      <c r="F22" s="393">
        <v>162</v>
      </c>
      <c r="G22" s="393">
        <v>112</v>
      </c>
      <c r="H22" s="393">
        <v>111</v>
      </c>
      <c r="I22" s="417" t="s">
        <v>46</v>
      </c>
      <c r="J22" s="417">
        <v>6</v>
      </c>
    </row>
    <row r="23" spans="1:11" x14ac:dyDescent="0.2">
      <c r="A23" s="202" t="s">
        <v>352</v>
      </c>
      <c r="B23" s="202" t="s">
        <v>26</v>
      </c>
      <c r="C23" s="202" t="s">
        <v>360</v>
      </c>
      <c r="D23" s="202" t="s">
        <v>47</v>
      </c>
      <c r="E23" s="205">
        <v>0</v>
      </c>
      <c r="F23" s="205">
        <v>0</v>
      </c>
      <c r="G23" s="205">
        <v>0</v>
      </c>
      <c r="H23" s="205">
        <v>0</v>
      </c>
    </row>
    <row r="24" spans="1:11" x14ac:dyDescent="0.2">
      <c r="A24" s="202" t="s">
        <v>352</v>
      </c>
      <c r="B24" s="202" t="s">
        <v>26</v>
      </c>
      <c r="C24" s="202" t="s">
        <v>360</v>
      </c>
      <c r="D24" s="202" t="s">
        <v>48</v>
      </c>
      <c r="E24" s="205">
        <v>0</v>
      </c>
      <c r="F24" s="205">
        <v>0</v>
      </c>
      <c r="G24" s="205">
        <v>0</v>
      </c>
      <c r="H24" s="205">
        <v>0</v>
      </c>
    </row>
    <row r="25" spans="1:11" x14ac:dyDescent="0.2">
      <c r="A25" s="202" t="s">
        <v>352</v>
      </c>
      <c r="B25" s="202" t="s">
        <v>26</v>
      </c>
      <c r="C25" s="202" t="s">
        <v>360</v>
      </c>
      <c r="D25" s="202" t="s">
        <v>354</v>
      </c>
      <c r="E25" s="205">
        <v>0</v>
      </c>
      <c r="F25" s="205">
        <v>0</v>
      </c>
      <c r="G25" s="205">
        <v>0</v>
      </c>
      <c r="H25" s="205">
        <v>0</v>
      </c>
    </row>
    <row r="26" spans="1:11" x14ac:dyDescent="0.2">
      <c r="A26" s="202" t="s">
        <v>352</v>
      </c>
      <c r="B26" s="202" t="s">
        <v>26</v>
      </c>
      <c r="C26" s="202" t="s">
        <v>360</v>
      </c>
      <c r="D26" s="202" t="s">
        <v>355</v>
      </c>
      <c r="E26" s="205">
        <v>0</v>
      </c>
      <c r="F26" s="205">
        <v>0</v>
      </c>
      <c r="G26" s="205">
        <v>0</v>
      </c>
      <c r="H26" s="205">
        <v>0</v>
      </c>
    </row>
    <row r="27" spans="1:11" x14ac:dyDescent="0.2">
      <c r="A27" s="202" t="s">
        <v>352</v>
      </c>
      <c r="B27" s="202" t="s">
        <v>26</v>
      </c>
      <c r="C27" s="202" t="s">
        <v>360</v>
      </c>
      <c r="D27" s="202" t="s">
        <v>356</v>
      </c>
      <c r="E27" s="205">
        <v>0</v>
      </c>
      <c r="F27" s="205">
        <v>0</v>
      </c>
      <c r="G27" s="205">
        <v>0</v>
      </c>
      <c r="H27" s="205">
        <v>0</v>
      </c>
    </row>
    <row r="28" spans="1:11" x14ac:dyDescent="0.2">
      <c r="A28" s="254" t="s">
        <v>352</v>
      </c>
      <c r="B28" s="254" t="s">
        <v>26</v>
      </c>
      <c r="C28" s="254" t="s">
        <v>360</v>
      </c>
      <c r="D28" s="254" t="s">
        <v>357</v>
      </c>
      <c r="E28" s="255">
        <v>43925621.240000002</v>
      </c>
      <c r="F28" s="255">
        <v>3390</v>
      </c>
      <c r="G28" s="255">
        <v>2596</v>
      </c>
      <c r="H28" s="255">
        <v>2376</v>
      </c>
    </row>
    <row r="29" spans="1:11" x14ac:dyDescent="0.2">
      <c r="A29" s="202" t="s">
        <v>352</v>
      </c>
      <c r="B29" s="202" t="s">
        <v>26</v>
      </c>
      <c r="C29" s="202" t="s">
        <v>360</v>
      </c>
      <c r="D29" s="202" t="s">
        <v>49</v>
      </c>
      <c r="E29" s="205">
        <v>1260</v>
      </c>
      <c r="F29" s="205">
        <v>0</v>
      </c>
      <c r="G29" s="205">
        <v>0</v>
      </c>
      <c r="H29" s="205">
        <v>0</v>
      </c>
    </row>
    <row r="30" spans="1:11" x14ac:dyDescent="0.2">
      <c r="A30" s="202" t="s">
        <v>352</v>
      </c>
      <c r="B30" s="202" t="s">
        <v>26</v>
      </c>
      <c r="C30" s="202" t="s">
        <v>360</v>
      </c>
      <c r="D30" s="202" t="s">
        <v>50</v>
      </c>
      <c r="E30" s="205">
        <v>60</v>
      </c>
      <c r="F30" s="205">
        <v>0</v>
      </c>
      <c r="G30" s="205">
        <v>0</v>
      </c>
      <c r="H30" s="205">
        <v>0</v>
      </c>
    </row>
    <row r="31" spans="1:11" x14ac:dyDescent="0.2">
      <c r="D31" s="209" t="s">
        <v>93</v>
      </c>
      <c r="E31" s="210">
        <f>SUM(E3:E6,E20,E22)</f>
        <v>21206666.93</v>
      </c>
      <c r="F31" s="210">
        <f>SUM(F3:F6,F20,F22)</f>
        <v>1609</v>
      </c>
      <c r="G31" s="210">
        <f>SUM(G3:G6,G20,G22)</f>
        <v>1227</v>
      </c>
      <c r="H31" s="210">
        <f>SUM(H3:H6,H20,H22)</f>
        <v>1141</v>
      </c>
      <c r="I31" s="212"/>
      <c r="K31" s="393">
        <f>SUM(H31)/G31*100</f>
        <v>92.99103504482477</v>
      </c>
    </row>
    <row r="32" spans="1:11" x14ac:dyDescent="0.2">
      <c r="D32" s="418" t="s">
        <v>105</v>
      </c>
      <c r="E32" s="419">
        <f>E3+E4+E5+E6+E20+E22</f>
        <v>21206666.93</v>
      </c>
      <c r="I32" s="212"/>
    </row>
    <row r="33" spans="4:11" x14ac:dyDescent="0.2">
      <c r="E33" s="205">
        <f>SUM(E3:E20,E22,E24:E27)</f>
        <v>21962810.620000001</v>
      </c>
      <c r="I33" s="212"/>
    </row>
    <row r="34" spans="4:11" x14ac:dyDescent="0.2">
      <c r="D34" s="209" t="s">
        <v>295</v>
      </c>
      <c r="E34" s="210">
        <f>SUM(E3:E6,E15,E20,E22)</f>
        <v>21840119.710000001</v>
      </c>
      <c r="F34" s="210">
        <f>SUM(F3:F6,F15,F20,F22)</f>
        <v>1667</v>
      </c>
      <c r="G34" s="210">
        <f>SUM(G3:G6,G15,G20,G22)</f>
        <v>1284</v>
      </c>
      <c r="H34" s="210">
        <f>SUM(H3:H6,H15,H20,H22)</f>
        <v>1187</v>
      </c>
      <c r="I34" s="212"/>
      <c r="K34" s="393">
        <f>SUM(H34)/G34*100</f>
        <v>92.445482866043619</v>
      </c>
    </row>
    <row r="35" spans="4:11" x14ac:dyDescent="0.2">
      <c r="D35" s="418" t="s">
        <v>105</v>
      </c>
      <c r="E35" s="419">
        <f>E3+E4+E5+E6+E15+E20+E22</f>
        <v>21840119.710000001</v>
      </c>
      <c r="F35" s="202"/>
      <c r="G35" s="202"/>
      <c r="H35" s="202"/>
    </row>
    <row r="36" spans="4:11" x14ac:dyDescent="0.2">
      <c r="D36" s="204"/>
      <c r="E36" s="205">
        <f>SUM(E3:E20,E22,E24:E27)</f>
        <v>21962810.620000001</v>
      </c>
      <c r="F36" s="202"/>
      <c r="G36" s="202"/>
      <c r="H36" s="20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B1:K39"/>
  <sheetViews>
    <sheetView zoomScale="90" zoomScaleNormal="90" workbookViewId="0">
      <selection activeCell="B1" sqref="B1"/>
    </sheetView>
  </sheetViews>
  <sheetFormatPr defaultRowHeight="14.25" x14ac:dyDescent="0.2"/>
  <cols>
    <col min="1" max="1" width="1.5703125" style="117" customWidth="1"/>
    <col min="2" max="2" width="5" style="117" customWidth="1"/>
    <col min="3" max="3" width="62.28515625" style="117" customWidth="1"/>
    <col min="4" max="4" width="10.28515625" style="117" customWidth="1"/>
    <col min="5" max="5" width="10" style="117" customWidth="1"/>
    <col min="6" max="6" width="9.7109375" style="117" customWidth="1"/>
    <col min="7" max="7" width="15.140625" style="117" customWidth="1"/>
    <col min="8" max="8" width="15.28515625" style="117" customWidth="1"/>
    <col min="9" max="9" width="10.7109375" style="117" customWidth="1"/>
    <col min="10" max="10" width="12.7109375" style="117" customWidth="1"/>
    <col min="11" max="11" width="13" style="117" customWidth="1"/>
    <col min="12" max="12" width="3.140625" style="117" customWidth="1"/>
    <col min="13" max="16384" width="9.140625" style="117"/>
  </cols>
  <sheetData>
    <row r="1" spans="2:11" ht="15" thickBot="1" x14ac:dyDescent="0.25">
      <c r="B1" s="230" t="s">
        <v>279</v>
      </c>
      <c r="D1" s="118"/>
      <c r="E1" s="118"/>
      <c r="F1" s="118"/>
      <c r="G1" s="416" t="s">
        <v>269</v>
      </c>
      <c r="H1" s="572" t="s">
        <v>266</v>
      </c>
      <c r="I1" s="118"/>
      <c r="J1" s="118"/>
      <c r="K1" s="118"/>
    </row>
    <row r="2" spans="2:11" x14ac:dyDescent="0.2">
      <c r="B2" s="315"/>
      <c r="C2" s="610" t="s">
        <v>323</v>
      </c>
      <c r="D2" s="316"/>
      <c r="E2" s="317"/>
      <c r="F2" s="318"/>
      <c r="G2" s="316"/>
      <c r="H2" s="318"/>
      <c r="I2" s="316"/>
      <c r="J2" s="316"/>
      <c r="K2" s="319"/>
    </row>
    <row r="3" spans="2:11" ht="66" customHeight="1" x14ac:dyDescent="0.2">
      <c r="B3" s="320"/>
      <c r="C3" s="611"/>
      <c r="D3" s="321" t="s">
        <v>108</v>
      </c>
      <c r="E3" s="322" t="s">
        <v>109</v>
      </c>
      <c r="F3" s="323" t="s">
        <v>110</v>
      </c>
      <c r="G3" s="324" t="s">
        <v>111</v>
      </c>
      <c r="H3" s="323" t="s">
        <v>270</v>
      </c>
      <c r="I3" s="321" t="s">
        <v>167</v>
      </c>
      <c r="J3" s="325" t="s">
        <v>186</v>
      </c>
      <c r="K3" s="326" t="s">
        <v>185</v>
      </c>
    </row>
    <row r="4" spans="2:11" x14ac:dyDescent="0.2">
      <c r="B4" s="327" t="s">
        <v>106</v>
      </c>
      <c r="C4" s="611"/>
      <c r="D4" s="321"/>
      <c r="E4" s="322"/>
      <c r="F4" s="323"/>
      <c r="G4" s="321" t="s">
        <v>238</v>
      </c>
      <c r="H4" s="323"/>
      <c r="I4" s="321"/>
      <c r="J4" s="328"/>
      <c r="K4" s="326"/>
    </row>
    <row r="5" spans="2:11" ht="15" thickBot="1" x14ac:dyDescent="0.25">
      <c r="B5" s="329"/>
      <c r="C5" s="612"/>
      <c r="D5" s="330"/>
      <c r="E5" s="331"/>
      <c r="F5" s="332"/>
      <c r="G5" s="330"/>
      <c r="H5" s="332"/>
      <c r="I5" s="330"/>
      <c r="J5" s="330"/>
      <c r="K5" s="333"/>
    </row>
    <row r="6" spans="2:11" x14ac:dyDescent="0.2">
      <c r="B6" s="131">
        <v>1</v>
      </c>
      <c r="C6" s="132" t="s">
        <v>2</v>
      </c>
      <c r="D6" s="133">
        <f>SUM('z18'!F6)</f>
        <v>1873</v>
      </c>
      <c r="E6" s="134">
        <f>SUM('z18'!G6)</f>
        <v>1685</v>
      </c>
      <c r="F6" s="135">
        <f>SUM('z18'!H6)</f>
        <v>1173</v>
      </c>
      <c r="G6" s="136">
        <f>SUM(F6/E6)*100</f>
        <v>69.614243323442139</v>
      </c>
      <c r="H6" s="137">
        <f>SUM(J6/F6)</f>
        <v>4261.3810741687976</v>
      </c>
      <c r="I6" s="136">
        <f>SUM('z18'!E6)</f>
        <v>4998.5999999999995</v>
      </c>
      <c r="J6" s="133">
        <f>SUM(I6*1000)</f>
        <v>4998599.9999999991</v>
      </c>
      <c r="K6" s="138">
        <f>SUM(J6/D6)</f>
        <v>2668.7666844634273</v>
      </c>
    </row>
    <row r="7" spans="2:11" x14ac:dyDescent="0.2">
      <c r="B7" s="119">
        <v>2</v>
      </c>
      <c r="C7" s="120" t="s">
        <v>1</v>
      </c>
      <c r="D7" s="121">
        <f>SUM('z18'!F5)</f>
        <v>12712</v>
      </c>
      <c r="E7" s="122">
        <f>SUM('z18'!G5)</f>
        <v>9501</v>
      </c>
      <c r="F7" s="123">
        <f>SUM('z18'!H5)</f>
        <v>8097</v>
      </c>
      <c r="G7" s="124">
        <f t="shared" ref="G7:G11" si="0">SUM(F7/E7)*100</f>
        <v>85.222608146510893</v>
      </c>
      <c r="H7" s="125">
        <f t="shared" ref="H7:H11" si="1">SUM(J7/F7)</f>
        <v>8422.05755217982</v>
      </c>
      <c r="I7" s="124">
        <f>SUM('z18'!E5)</f>
        <v>68193.399999999994</v>
      </c>
      <c r="J7" s="121">
        <f t="shared" ref="J7:J11" si="2">SUM(I7*1000)</f>
        <v>68193400</v>
      </c>
      <c r="K7" s="126">
        <f>SUM(J7/D7)</f>
        <v>5364.4902454373823</v>
      </c>
    </row>
    <row r="8" spans="2:11" x14ac:dyDescent="0.2">
      <c r="B8" s="119">
        <v>3</v>
      </c>
      <c r="C8" s="120" t="s">
        <v>3</v>
      </c>
      <c r="D8" s="121">
        <f>SUM('z18'!F7)</f>
        <v>5531</v>
      </c>
      <c r="E8" s="122">
        <f>SUM('z18'!G7)</f>
        <v>3836</v>
      </c>
      <c r="F8" s="123">
        <f>SUM('z18'!H7)</f>
        <v>3574</v>
      </c>
      <c r="G8" s="124">
        <f t="shared" si="0"/>
        <v>93.16996871741398</v>
      </c>
      <c r="H8" s="125">
        <f t="shared" si="1"/>
        <v>6443.5086737548954</v>
      </c>
      <c r="I8" s="124">
        <f>SUM('z18'!E7)</f>
        <v>23029.099999999995</v>
      </c>
      <c r="J8" s="121">
        <f t="shared" si="2"/>
        <v>23029099.999999996</v>
      </c>
      <c r="K8" s="126">
        <f>SUM(J8/D8)</f>
        <v>4163.6412945217853</v>
      </c>
    </row>
    <row r="9" spans="2:11" x14ac:dyDescent="0.2">
      <c r="B9" s="119">
        <v>4</v>
      </c>
      <c r="C9" s="120" t="s">
        <v>4</v>
      </c>
      <c r="D9" s="121">
        <f>SUM('z18'!F8)</f>
        <v>2146</v>
      </c>
      <c r="E9" s="122">
        <f>SUM('z18'!G8)</f>
        <v>2000</v>
      </c>
      <c r="F9" s="123">
        <f>SUM('z18'!H8)</f>
        <v>1884</v>
      </c>
      <c r="G9" s="124">
        <f t="shared" si="0"/>
        <v>94.199999999999989</v>
      </c>
      <c r="H9" s="125">
        <f>SUM(J9/F9)</f>
        <v>10670.329087048833</v>
      </c>
      <c r="I9" s="124">
        <f>SUM('z18'!E8)</f>
        <v>20102.900000000001</v>
      </c>
      <c r="J9" s="121">
        <f t="shared" si="2"/>
        <v>20102900</v>
      </c>
      <c r="K9" s="126">
        <f t="shared" ref="K9:K11" si="3">SUM(J9/D9)</f>
        <v>9367.6141658900287</v>
      </c>
    </row>
    <row r="10" spans="2:11" x14ac:dyDescent="0.2">
      <c r="B10" s="119">
        <v>5</v>
      </c>
      <c r="C10" s="120" t="s">
        <v>58</v>
      </c>
      <c r="D10" s="121">
        <f>SUM('z18'!F22)</f>
        <v>2474</v>
      </c>
      <c r="E10" s="122">
        <f>SUM('z18'!G22)</f>
        <v>2600</v>
      </c>
      <c r="F10" s="123">
        <f>SUM('z18'!H22)</f>
        <v>2521</v>
      </c>
      <c r="G10" s="124">
        <f t="shared" si="0"/>
        <v>96.961538461538467</v>
      </c>
      <c r="H10" s="125">
        <f>SUM(J10/F10)</f>
        <v>20176.834589448634</v>
      </c>
      <c r="I10" s="124">
        <f>SUM('z18'!E22)</f>
        <v>50865.80000000001</v>
      </c>
      <c r="J10" s="121">
        <f t="shared" si="2"/>
        <v>50865800.000000007</v>
      </c>
      <c r="K10" s="126">
        <f t="shared" si="3"/>
        <v>20560.145513338724</v>
      </c>
    </row>
    <row r="11" spans="2:11" ht="15.75" customHeight="1" x14ac:dyDescent="0.2">
      <c r="B11" s="139">
        <v>6</v>
      </c>
      <c r="C11" s="140" t="s">
        <v>59</v>
      </c>
      <c r="D11" s="141">
        <f>SUM('z18'!F24)</f>
        <v>1931</v>
      </c>
      <c r="E11" s="142">
        <f>SUM('z18'!G24)</f>
        <v>2590</v>
      </c>
      <c r="F11" s="143">
        <f>SUM('z18'!H24)</f>
        <v>2337</v>
      </c>
      <c r="G11" s="144">
        <f t="shared" si="0"/>
        <v>90.231660231660229</v>
      </c>
      <c r="H11" s="145">
        <f t="shared" si="1"/>
        <v>17196.576807873338</v>
      </c>
      <c r="I11" s="144">
        <f>SUM('z18'!E24)</f>
        <v>40188.399999999994</v>
      </c>
      <c r="J11" s="141">
        <f t="shared" si="2"/>
        <v>40188399.999999993</v>
      </c>
      <c r="K11" s="146">
        <f t="shared" si="3"/>
        <v>20812.221646815116</v>
      </c>
    </row>
    <row r="12" spans="2:11" ht="15.75" customHeight="1" thickBot="1" x14ac:dyDescent="0.25">
      <c r="B12" s="139">
        <v>7</v>
      </c>
      <c r="C12" s="140" t="s">
        <v>11</v>
      </c>
      <c r="D12" s="141">
        <f>SUM('z18'!F17)</f>
        <v>1263</v>
      </c>
      <c r="E12" s="142">
        <f>SUM('z18'!G17)</f>
        <v>1287</v>
      </c>
      <c r="F12" s="143">
        <f>SUM('z18'!H17)</f>
        <v>1196</v>
      </c>
      <c r="G12" s="144">
        <f>SUM(F12/E12)*100</f>
        <v>92.929292929292927</v>
      </c>
      <c r="H12" s="145">
        <f>SUM(J12/F12)</f>
        <v>7808.4448160535121</v>
      </c>
      <c r="I12" s="144">
        <f>SUM('z18'!E17)</f>
        <v>9338.9</v>
      </c>
      <c r="J12" s="141">
        <f>SUM(I12*1000)</f>
        <v>9338900</v>
      </c>
      <c r="K12" s="146">
        <f>SUM(J12/D12)</f>
        <v>7394.2201108471891</v>
      </c>
    </row>
    <row r="13" spans="2:11" ht="15" thickBot="1" x14ac:dyDescent="0.25">
      <c r="B13" s="334">
        <v>8</v>
      </c>
      <c r="C13" s="335" t="s">
        <v>305</v>
      </c>
      <c r="D13" s="336">
        <f>SUM(D6:D11)</f>
        <v>26667</v>
      </c>
      <c r="E13" s="337">
        <f>SUM(E6:E11)</f>
        <v>22212</v>
      </c>
      <c r="F13" s="338">
        <f>SUM(F6:F11)</f>
        <v>19586</v>
      </c>
      <c r="G13" s="339">
        <f>SUM(F13/E13)*100</f>
        <v>88.177561678372058</v>
      </c>
      <c r="H13" s="343">
        <f>SUM(J13/F13)</f>
        <v>10588.083324823854</v>
      </c>
      <c r="I13" s="339">
        <f>SUM(I6:I11)</f>
        <v>207378.2</v>
      </c>
      <c r="J13" s="336">
        <f>SUM(I13*1000)</f>
        <v>207378200</v>
      </c>
      <c r="K13" s="344">
        <f>SUM(J13/D13)</f>
        <v>7776.5852926838415</v>
      </c>
    </row>
    <row r="14" spans="2:11" ht="15" thickBot="1" x14ac:dyDescent="0.25">
      <c r="B14" s="334">
        <v>9</v>
      </c>
      <c r="C14" s="335" t="s">
        <v>309</v>
      </c>
      <c r="D14" s="336">
        <f>SUM(D6:D12)</f>
        <v>27930</v>
      </c>
      <c r="E14" s="337">
        <f>SUM(E6:E12)</f>
        <v>23499</v>
      </c>
      <c r="F14" s="338">
        <f>SUM(F6:F12)</f>
        <v>20782</v>
      </c>
      <c r="G14" s="339">
        <f>SUM(F14/E14)*100</f>
        <v>88.437805864079323</v>
      </c>
      <c r="H14" s="343">
        <f>SUM(J14/F14)</f>
        <v>10428.115677028198</v>
      </c>
      <c r="I14" s="339">
        <f>SUM(I6:I12)</f>
        <v>216717.1</v>
      </c>
      <c r="J14" s="336">
        <f>SUM(I14*1000)</f>
        <v>216717100</v>
      </c>
      <c r="K14" s="342">
        <f>SUM(J14/D14)</f>
        <v>7759.2946652345145</v>
      </c>
    </row>
    <row r="16" spans="2:11" x14ac:dyDescent="0.2">
      <c r="I16" s="129"/>
      <c r="J16" s="128"/>
    </row>
    <row r="17" spans="6:10" x14ac:dyDescent="0.2">
      <c r="I17" s="129"/>
      <c r="J17" s="130"/>
    </row>
    <row r="18" spans="6:10" ht="68.25" customHeight="1" x14ac:dyDescent="0.2"/>
    <row r="19" spans="6:10" x14ac:dyDescent="0.2">
      <c r="G19" s="127"/>
    </row>
    <row r="20" spans="6:10" x14ac:dyDescent="0.2">
      <c r="G20" s="127"/>
    </row>
    <row r="21" spans="6:10" ht="16.5" customHeight="1" x14ac:dyDescent="0.2">
      <c r="G21" s="127"/>
    </row>
    <row r="22" spans="6:10" ht="15" customHeight="1" x14ac:dyDescent="0.2">
      <c r="F22" s="127"/>
      <c r="G22" s="127"/>
    </row>
    <row r="23" spans="6:10" ht="15" customHeight="1" x14ac:dyDescent="0.2">
      <c r="G23" s="127"/>
    </row>
    <row r="24" spans="6:10" ht="18.75" customHeight="1" x14ac:dyDescent="0.2">
      <c r="G24" s="127"/>
    </row>
    <row r="25" spans="6:10" ht="15.75" customHeight="1" x14ac:dyDescent="0.2">
      <c r="G25" s="127"/>
    </row>
    <row r="26" spans="6:10" ht="18" customHeight="1" x14ac:dyDescent="0.2"/>
    <row r="27" spans="6:10" ht="15" customHeight="1" x14ac:dyDescent="0.2"/>
    <row r="32" spans="6:10" ht="63" customHeight="1" x14ac:dyDescent="0.2"/>
    <row r="35" ht="15" customHeight="1" x14ac:dyDescent="0.2"/>
    <row r="36" ht="18.75" customHeight="1" x14ac:dyDescent="0.2"/>
    <row r="37" ht="15.75" customHeight="1" x14ac:dyDescent="0.2"/>
    <row r="38" ht="14.25" customHeight="1" x14ac:dyDescent="0.2"/>
    <row r="39" ht="12" customHeight="1" x14ac:dyDescent="0.2"/>
  </sheetData>
  <mergeCells count="1">
    <mergeCell ref="C2:C5"/>
  </mergeCells>
  <pageMargins left="0.7" right="0.7" top="0.75" bottom="0.75" header="0.3" footer="0.3"/>
  <pageSetup paperSize="9" scale="78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Arkusz30">
    <tabColor theme="9" tint="0.59999389629810485"/>
  </sheetPr>
  <dimension ref="A1:K36"/>
  <sheetViews>
    <sheetView zoomScale="80" zoomScaleNormal="80" workbookViewId="0"/>
  </sheetViews>
  <sheetFormatPr defaultRowHeight="14.25" x14ac:dyDescent="0.2"/>
  <cols>
    <col min="1" max="3" width="9.140625" style="204"/>
    <col min="4" max="4" width="9.140625" style="202"/>
    <col min="5" max="5" width="13.140625" style="204" customWidth="1"/>
    <col min="6" max="6" width="11.85546875" style="204" customWidth="1"/>
    <col min="7" max="7" width="11.7109375" style="204" customWidth="1"/>
    <col min="8" max="8" width="11.140625" style="204" customWidth="1"/>
    <col min="9" max="10" width="5.85546875" style="204" customWidth="1"/>
    <col min="11" max="16384" width="9.140625" style="204"/>
  </cols>
  <sheetData>
    <row r="1" spans="1:10" s="394" customFormat="1" x14ac:dyDescent="0.2">
      <c r="A1" s="392" t="s">
        <v>22</v>
      </c>
      <c r="B1" s="392" t="s">
        <v>23</v>
      </c>
      <c r="C1" s="392" t="s">
        <v>24</v>
      </c>
      <c r="D1" s="392" t="s">
        <v>25</v>
      </c>
      <c r="E1" s="393" t="s">
        <v>95</v>
      </c>
      <c r="F1" s="393" t="s">
        <v>53</v>
      </c>
      <c r="G1" s="393" t="s">
        <v>54</v>
      </c>
      <c r="H1" s="393" t="s">
        <v>94</v>
      </c>
    </row>
    <row r="2" spans="1:10" x14ac:dyDescent="0.2">
      <c r="A2" s="202" t="s">
        <v>352</v>
      </c>
      <c r="B2" s="202" t="s">
        <v>26</v>
      </c>
      <c r="C2" s="202" t="s">
        <v>361</v>
      </c>
      <c r="D2" s="202" t="s">
        <v>27</v>
      </c>
      <c r="E2" s="205">
        <v>20890478.890000001</v>
      </c>
      <c r="F2" s="205">
        <v>1607</v>
      </c>
      <c r="G2" s="205">
        <v>1072</v>
      </c>
      <c r="H2" s="205">
        <v>905</v>
      </c>
    </row>
    <row r="3" spans="1:10" x14ac:dyDescent="0.2">
      <c r="A3" s="202" t="s">
        <v>352</v>
      </c>
      <c r="B3" s="202" t="s">
        <v>26</v>
      </c>
      <c r="C3" s="202" t="s">
        <v>361</v>
      </c>
      <c r="D3" s="202" t="s">
        <v>28</v>
      </c>
      <c r="E3" s="393">
        <v>3999786.19</v>
      </c>
      <c r="F3" s="393">
        <v>557</v>
      </c>
      <c r="G3" s="393">
        <v>342</v>
      </c>
      <c r="H3" s="393">
        <v>313</v>
      </c>
      <c r="I3" s="417" t="s">
        <v>28</v>
      </c>
      <c r="J3" s="417">
        <v>1</v>
      </c>
    </row>
    <row r="4" spans="1:10" x14ac:dyDescent="0.2">
      <c r="A4" s="202" t="s">
        <v>352</v>
      </c>
      <c r="B4" s="202" t="s">
        <v>26</v>
      </c>
      <c r="C4" s="202" t="s">
        <v>361</v>
      </c>
      <c r="D4" s="202" t="s">
        <v>29</v>
      </c>
      <c r="E4" s="393">
        <v>358213.98</v>
      </c>
      <c r="F4" s="393">
        <v>132</v>
      </c>
      <c r="G4" s="393">
        <v>92</v>
      </c>
      <c r="H4" s="393">
        <v>32</v>
      </c>
      <c r="I4" s="417" t="s">
        <v>29</v>
      </c>
      <c r="J4" s="417">
        <v>2</v>
      </c>
    </row>
    <row r="5" spans="1:10" x14ac:dyDescent="0.2">
      <c r="A5" s="202" t="s">
        <v>352</v>
      </c>
      <c r="B5" s="202" t="s">
        <v>26</v>
      </c>
      <c r="C5" s="202" t="s">
        <v>361</v>
      </c>
      <c r="D5" s="202" t="s">
        <v>30</v>
      </c>
      <c r="E5" s="393">
        <v>1431908.84</v>
      </c>
      <c r="F5" s="393">
        <v>258</v>
      </c>
      <c r="G5" s="393">
        <v>156</v>
      </c>
      <c r="H5" s="393">
        <v>146</v>
      </c>
      <c r="I5" s="417" t="s">
        <v>30</v>
      </c>
      <c r="J5" s="417">
        <v>3</v>
      </c>
    </row>
    <row r="6" spans="1:10" x14ac:dyDescent="0.2">
      <c r="A6" s="202" t="s">
        <v>352</v>
      </c>
      <c r="B6" s="202" t="s">
        <v>26</v>
      </c>
      <c r="C6" s="202" t="s">
        <v>361</v>
      </c>
      <c r="D6" s="202" t="s">
        <v>31</v>
      </c>
      <c r="E6" s="393">
        <v>1017649.41</v>
      </c>
      <c r="F6" s="393">
        <v>102</v>
      </c>
      <c r="G6" s="393">
        <v>72</v>
      </c>
      <c r="H6" s="393">
        <v>72</v>
      </c>
      <c r="I6" s="417" t="s">
        <v>31</v>
      </c>
      <c r="J6" s="417">
        <v>4</v>
      </c>
    </row>
    <row r="7" spans="1:10" x14ac:dyDescent="0.2">
      <c r="A7" s="202" t="s">
        <v>352</v>
      </c>
      <c r="B7" s="202" t="s">
        <v>26</v>
      </c>
      <c r="C7" s="202" t="s">
        <v>361</v>
      </c>
      <c r="D7" s="202" t="s">
        <v>32</v>
      </c>
      <c r="E7" s="205">
        <v>69333</v>
      </c>
      <c r="F7" s="205">
        <v>54</v>
      </c>
      <c r="G7" s="205">
        <v>46</v>
      </c>
      <c r="H7" s="205">
        <v>7</v>
      </c>
      <c r="I7" s="206"/>
    </row>
    <row r="8" spans="1:10" x14ac:dyDescent="0.2">
      <c r="A8" s="202" t="s">
        <v>352</v>
      </c>
      <c r="B8" s="202" t="s">
        <v>26</v>
      </c>
      <c r="C8" s="202" t="s">
        <v>361</v>
      </c>
      <c r="D8" s="202" t="s">
        <v>33</v>
      </c>
      <c r="E8" s="205">
        <v>0</v>
      </c>
      <c r="F8" s="205">
        <v>0</v>
      </c>
      <c r="G8" s="205">
        <v>0</v>
      </c>
      <c r="H8" s="205">
        <v>0</v>
      </c>
      <c r="I8" s="206"/>
    </row>
    <row r="9" spans="1:10" x14ac:dyDescent="0.2">
      <c r="A9" s="202" t="s">
        <v>352</v>
      </c>
      <c r="B9" s="202" t="s">
        <v>26</v>
      </c>
      <c r="C9" s="202" t="s">
        <v>361</v>
      </c>
      <c r="D9" s="202" t="s">
        <v>34</v>
      </c>
      <c r="E9" s="205">
        <v>0</v>
      </c>
      <c r="F9" s="205">
        <v>0</v>
      </c>
      <c r="G9" s="205">
        <v>0</v>
      </c>
      <c r="H9" s="205">
        <v>0</v>
      </c>
      <c r="I9" s="206"/>
    </row>
    <row r="10" spans="1:10" x14ac:dyDescent="0.2">
      <c r="A10" s="202" t="s">
        <v>352</v>
      </c>
      <c r="B10" s="202" t="s">
        <v>26</v>
      </c>
      <c r="C10" s="202" t="s">
        <v>361</v>
      </c>
      <c r="D10" s="202" t="s">
        <v>35</v>
      </c>
      <c r="E10" s="205">
        <v>0</v>
      </c>
      <c r="F10" s="205">
        <v>0</v>
      </c>
      <c r="G10" s="205">
        <v>0</v>
      </c>
      <c r="H10" s="205">
        <v>0</v>
      </c>
      <c r="I10" s="206"/>
    </row>
    <row r="11" spans="1:10" x14ac:dyDescent="0.2">
      <c r="A11" s="202" t="s">
        <v>352</v>
      </c>
      <c r="B11" s="202" t="s">
        <v>26</v>
      </c>
      <c r="C11" s="202" t="s">
        <v>361</v>
      </c>
      <c r="D11" s="202" t="s">
        <v>36</v>
      </c>
      <c r="E11" s="205">
        <v>0</v>
      </c>
      <c r="F11" s="205">
        <v>0</v>
      </c>
      <c r="G11" s="205">
        <v>0</v>
      </c>
      <c r="H11" s="205">
        <v>0</v>
      </c>
      <c r="I11" s="206"/>
    </row>
    <row r="12" spans="1:10" x14ac:dyDescent="0.2">
      <c r="A12" s="202" t="s">
        <v>352</v>
      </c>
      <c r="B12" s="202" t="s">
        <v>26</v>
      </c>
      <c r="C12" s="202" t="s">
        <v>361</v>
      </c>
      <c r="D12" s="202" t="s">
        <v>37</v>
      </c>
      <c r="E12" s="205">
        <v>0</v>
      </c>
      <c r="F12" s="205">
        <v>0</v>
      </c>
      <c r="G12" s="205">
        <v>0</v>
      </c>
      <c r="H12" s="205">
        <v>0</v>
      </c>
      <c r="I12" s="206"/>
    </row>
    <row r="13" spans="1:10" x14ac:dyDescent="0.2">
      <c r="A13" s="202" t="s">
        <v>352</v>
      </c>
      <c r="B13" s="202" t="s">
        <v>26</v>
      </c>
      <c r="C13" s="202" t="s">
        <v>361</v>
      </c>
      <c r="D13" s="202" t="s">
        <v>26</v>
      </c>
      <c r="E13" s="205">
        <v>0</v>
      </c>
      <c r="F13" s="205">
        <v>0</v>
      </c>
      <c r="G13" s="205">
        <v>0</v>
      </c>
      <c r="H13" s="205">
        <v>0</v>
      </c>
      <c r="I13" s="206"/>
    </row>
    <row r="14" spans="1:10" x14ac:dyDescent="0.2">
      <c r="A14" s="202" t="s">
        <v>352</v>
      </c>
      <c r="B14" s="202" t="s">
        <v>26</v>
      </c>
      <c r="C14" s="202" t="s">
        <v>361</v>
      </c>
      <c r="D14" s="202" t="s">
        <v>38</v>
      </c>
      <c r="E14" s="205">
        <v>0</v>
      </c>
      <c r="F14" s="205">
        <v>0</v>
      </c>
      <c r="G14" s="205">
        <v>0</v>
      </c>
      <c r="H14" s="205">
        <v>0</v>
      </c>
      <c r="I14" s="206"/>
    </row>
    <row r="15" spans="1:10" x14ac:dyDescent="0.2">
      <c r="A15" s="202" t="s">
        <v>352</v>
      </c>
      <c r="B15" s="202" t="s">
        <v>26</v>
      </c>
      <c r="C15" s="202" t="s">
        <v>361</v>
      </c>
      <c r="D15" s="202" t="s">
        <v>39</v>
      </c>
      <c r="E15" s="393">
        <v>458700</v>
      </c>
      <c r="F15" s="393">
        <v>44</v>
      </c>
      <c r="G15" s="393">
        <v>30</v>
      </c>
      <c r="H15" s="393">
        <v>28</v>
      </c>
      <c r="I15" s="213"/>
      <c r="J15" s="417">
        <v>7</v>
      </c>
    </row>
    <row r="16" spans="1:10" x14ac:dyDescent="0.2">
      <c r="A16" s="202" t="s">
        <v>352</v>
      </c>
      <c r="B16" s="202" t="s">
        <v>26</v>
      </c>
      <c r="C16" s="202" t="s">
        <v>361</v>
      </c>
      <c r="D16" s="202" t="s">
        <v>40</v>
      </c>
      <c r="E16" s="205">
        <v>378202.26</v>
      </c>
      <c r="F16" s="205">
        <v>39</v>
      </c>
      <c r="G16" s="205">
        <v>22</v>
      </c>
      <c r="H16" s="205">
        <v>18</v>
      </c>
      <c r="I16" s="206"/>
    </row>
    <row r="17" spans="1:11" x14ac:dyDescent="0.2">
      <c r="A17" s="202" t="s">
        <v>352</v>
      </c>
      <c r="B17" s="202" t="s">
        <v>26</v>
      </c>
      <c r="C17" s="202" t="s">
        <v>361</v>
      </c>
      <c r="D17" s="202" t="s">
        <v>41</v>
      </c>
      <c r="E17" s="205">
        <v>0</v>
      </c>
      <c r="F17" s="205">
        <v>0</v>
      </c>
      <c r="G17" s="205">
        <v>0</v>
      </c>
      <c r="H17" s="205">
        <v>0</v>
      </c>
      <c r="I17" s="206"/>
    </row>
    <row r="18" spans="1:11" x14ac:dyDescent="0.2">
      <c r="A18" s="202" t="s">
        <v>352</v>
      </c>
      <c r="B18" s="202" t="s">
        <v>26</v>
      </c>
      <c r="C18" s="202" t="s">
        <v>361</v>
      </c>
      <c r="D18" s="202" t="s">
        <v>42</v>
      </c>
      <c r="E18" s="205">
        <v>0</v>
      </c>
      <c r="F18" s="205">
        <v>0</v>
      </c>
      <c r="G18" s="205">
        <v>0</v>
      </c>
      <c r="H18" s="205">
        <v>0</v>
      </c>
      <c r="I18" s="206"/>
    </row>
    <row r="19" spans="1:11" x14ac:dyDescent="0.2">
      <c r="A19" s="202" t="s">
        <v>352</v>
      </c>
      <c r="B19" s="202" t="s">
        <v>26</v>
      </c>
      <c r="C19" s="202" t="s">
        <v>361</v>
      </c>
      <c r="D19" s="202" t="s">
        <v>43</v>
      </c>
      <c r="E19" s="205">
        <v>0</v>
      </c>
      <c r="F19" s="205">
        <v>0</v>
      </c>
      <c r="G19" s="205">
        <v>0</v>
      </c>
      <c r="H19" s="205">
        <v>0</v>
      </c>
      <c r="I19" s="206"/>
    </row>
    <row r="20" spans="1:11" x14ac:dyDescent="0.2">
      <c r="A20" s="202" t="s">
        <v>352</v>
      </c>
      <c r="B20" s="202" t="s">
        <v>26</v>
      </c>
      <c r="C20" s="202" t="s">
        <v>361</v>
      </c>
      <c r="D20" s="202" t="s">
        <v>44</v>
      </c>
      <c r="E20" s="393">
        <v>4636021.05</v>
      </c>
      <c r="F20" s="393">
        <v>150</v>
      </c>
      <c r="G20" s="393">
        <v>189</v>
      </c>
      <c r="H20" s="393">
        <v>185</v>
      </c>
      <c r="I20" s="417">
        <v>19</v>
      </c>
      <c r="J20" s="417">
        <v>5</v>
      </c>
    </row>
    <row r="21" spans="1:11" x14ac:dyDescent="0.2">
      <c r="A21" s="202" t="s">
        <v>352</v>
      </c>
      <c r="B21" s="202" t="s">
        <v>26</v>
      </c>
      <c r="C21" s="202" t="s">
        <v>361</v>
      </c>
      <c r="D21" s="202" t="s">
        <v>45</v>
      </c>
      <c r="E21" s="205">
        <v>0</v>
      </c>
      <c r="F21" s="205">
        <v>0</v>
      </c>
      <c r="G21" s="205">
        <v>0</v>
      </c>
      <c r="H21" s="205">
        <v>0</v>
      </c>
      <c r="I21" s="206"/>
    </row>
    <row r="22" spans="1:11" x14ac:dyDescent="0.2">
      <c r="A22" s="202" t="s">
        <v>352</v>
      </c>
      <c r="B22" s="202" t="s">
        <v>26</v>
      </c>
      <c r="C22" s="202" t="s">
        <v>361</v>
      </c>
      <c r="D22" s="202" t="s">
        <v>46</v>
      </c>
      <c r="E22" s="393">
        <v>8540664.1600000001</v>
      </c>
      <c r="F22" s="393">
        <v>271</v>
      </c>
      <c r="G22" s="393">
        <v>123</v>
      </c>
      <c r="H22" s="393">
        <v>104</v>
      </c>
      <c r="I22" s="417" t="s">
        <v>46</v>
      </c>
      <c r="J22" s="417">
        <v>6</v>
      </c>
    </row>
    <row r="23" spans="1:11" x14ac:dyDescent="0.2">
      <c r="A23" s="202" t="s">
        <v>352</v>
      </c>
      <c r="B23" s="202" t="s">
        <v>26</v>
      </c>
      <c r="C23" s="202" t="s">
        <v>361</v>
      </c>
      <c r="D23" s="202" t="s">
        <v>47</v>
      </c>
      <c r="E23" s="205">
        <v>0</v>
      </c>
      <c r="F23" s="205">
        <v>0</v>
      </c>
      <c r="G23" s="205">
        <v>0</v>
      </c>
      <c r="H23" s="205">
        <v>0</v>
      </c>
    </row>
    <row r="24" spans="1:11" x14ac:dyDescent="0.2">
      <c r="A24" s="202" t="s">
        <v>352</v>
      </c>
      <c r="B24" s="202" t="s">
        <v>26</v>
      </c>
      <c r="C24" s="202" t="s">
        <v>361</v>
      </c>
      <c r="D24" s="202" t="s">
        <v>48</v>
      </c>
      <c r="E24" s="205">
        <v>0</v>
      </c>
      <c r="F24" s="205">
        <v>0</v>
      </c>
      <c r="G24" s="205">
        <v>0</v>
      </c>
      <c r="H24" s="205">
        <v>0</v>
      </c>
    </row>
    <row r="25" spans="1:11" x14ac:dyDescent="0.2">
      <c r="A25" s="202" t="s">
        <v>352</v>
      </c>
      <c r="B25" s="202" t="s">
        <v>26</v>
      </c>
      <c r="C25" s="202" t="s">
        <v>361</v>
      </c>
      <c r="D25" s="202" t="s">
        <v>354</v>
      </c>
      <c r="E25" s="205">
        <v>0</v>
      </c>
      <c r="F25" s="205">
        <v>0</v>
      </c>
      <c r="G25" s="205">
        <v>0</v>
      </c>
      <c r="H25" s="205">
        <v>0</v>
      </c>
    </row>
    <row r="26" spans="1:11" x14ac:dyDescent="0.2">
      <c r="A26" s="202" t="s">
        <v>352</v>
      </c>
      <c r="B26" s="202" t="s">
        <v>26</v>
      </c>
      <c r="C26" s="202" t="s">
        <v>361</v>
      </c>
      <c r="D26" s="202" t="s">
        <v>355</v>
      </c>
      <c r="E26" s="205">
        <v>0</v>
      </c>
      <c r="F26" s="205">
        <v>0</v>
      </c>
      <c r="G26" s="205">
        <v>0</v>
      </c>
      <c r="H26" s="205">
        <v>0</v>
      </c>
    </row>
    <row r="27" spans="1:11" x14ac:dyDescent="0.2">
      <c r="A27" s="202" t="s">
        <v>352</v>
      </c>
      <c r="B27" s="202" t="s">
        <v>26</v>
      </c>
      <c r="C27" s="202" t="s">
        <v>361</v>
      </c>
      <c r="D27" s="202" t="s">
        <v>356</v>
      </c>
      <c r="E27" s="205">
        <v>0</v>
      </c>
      <c r="F27" s="205">
        <v>0</v>
      </c>
      <c r="G27" s="205">
        <v>0</v>
      </c>
      <c r="H27" s="205">
        <v>0</v>
      </c>
    </row>
    <row r="28" spans="1:11" x14ac:dyDescent="0.2">
      <c r="A28" s="254" t="s">
        <v>352</v>
      </c>
      <c r="B28" s="254" t="s">
        <v>26</v>
      </c>
      <c r="C28" s="254" t="s">
        <v>361</v>
      </c>
      <c r="D28" s="254" t="s">
        <v>357</v>
      </c>
      <c r="E28" s="255">
        <v>41780957.780000001</v>
      </c>
      <c r="F28" s="255">
        <v>3214</v>
      </c>
      <c r="G28" s="255">
        <v>2144</v>
      </c>
      <c r="H28" s="255">
        <v>1810</v>
      </c>
    </row>
    <row r="29" spans="1:11" x14ac:dyDescent="0.2">
      <c r="A29" s="202" t="s">
        <v>352</v>
      </c>
      <c r="B29" s="202" t="s">
        <v>26</v>
      </c>
      <c r="C29" s="202" t="s">
        <v>361</v>
      </c>
      <c r="D29" s="202" t="s">
        <v>49</v>
      </c>
      <c r="E29" s="205">
        <v>3000</v>
      </c>
      <c r="F29" s="205">
        <v>0</v>
      </c>
      <c r="G29" s="205">
        <v>0</v>
      </c>
      <c r="H29" s="205">
        <v>0</v>
      </c>
    </row>
    <row r="30" spans="1:11" x14ac:dyDescent="0.2">
      <c r="A30" s="202" t="s">
        <v>352</v>
      </c>
      <c r="B30" s="202" t="s">
        <v>26</v>
      </c>
      <c r="C30" s="202" t="s">
        <v>361</v>
      </c>
      <c r="D30" s="202" t="s">
        <v>50</v>
      </c>
      <c r="E30" s="205">
        <v>30</v>
      </c>
      <c r="F30" s="205">
        <v>0</v>
      </c>
      <c r="G30" s="205">
        <v>0</v>
      </c>
      <c r="H30" s="205">
        <v>0</v>
      </c>
    </row>
    <row r="31" spans="1:11" x14ac:dyDescent="0.2">
      <c r="D31" s="209" t="s">
        <v>93</v>
      </c>
      <c r="E31" s="210">
        <f>SUM(E3:E6,E20,E22)</f>
        <v>19984243.629999999</v>
      </c>
      <c r="F31" s="210">
        <f>SUM(F3:F6,F20,F22)</f>
        <v>1470</v>
      </c>
      <c r="G31" s="210">
        <f>SUM(G3:G6,G20,G22)</f>
        <v>974</v>
      </c>
      <c r="H31" s="210">
        <f>SUM(H3:H6,H20,H22)</f>
        <v>852</v>
      </c>
      <c r="I31" s="212"/>
      <c r="K31" s="393">
        <f>SUM(H31)/G31*100</f>
        <v>87.474332648870629</v>
      </c>
    </row>
    <row r="32" spans="1:11" x14ac:dyDescent="0.2">
      <c r="D32" s="418" t="s">
        <v>105</v>
      </c>
      <c r="E32" s="419">
        <f>E3+E4+E5+E6+E20+E22</f>
        <v>19984243.629999999</v>
      </c>
      <c r="I32" s="212"/>
    </row>
    <row r="33" spans="4:11" x14ac:dyDescent="0.2">
      <c r="D33" s="204"/>
      <c r="E33" s="205">
        <f>SUM(E3:E20,E22,E24:E27)</f>
        <v>20890478.890000001</v>
      </c>
      <c r="I33" s="212"/>
    </row>
    <row r="34" spans="4:11" x14ac:dyDescent="0.2">
      <c r="D34" s="209" t="s">
        <v>295</v>
      </c>
      <c r="E34" s="210">
        <f>SUM(E3:E6,E15,E20,E22)</f>
        <v>20442943.629999999</v>
      </c>
      <c r="F34" s="210">
        <f>SUM(F3:F6,F15,F20,F22)</f>
        <v>1514</v>
      </c>
      <c r="G34" s="210">
        <f>SUM(G3:G6,G15,G20,G22)</f>
        <v>1004</v>
      </c>
      <c r="H34" s="210">
        <f>SUM(H3:H6,H15,H20,H22)</f>
        <v>880</v>
      </c>
      <c r="I34" s="212"/>
      <c r="K34" s="393">
        <f>SUM(H34)/G34*100</f>
        <v>87.64940239043824</v>
      </c>
    </row>
    <row r="35" spans="4:11" x14ac:dyDescent="0.2">
      <c r="D35" s="418" t="s">
        <v>105</v>
      </c>
      <c r="E35" s="419">
        <f>E3+E4+E5+E6+E15+E20+E22</f>
        <v>20442943.629999999</v>
      </c>
      <c r="F35" s="202"/>
      <c r="G35" s="202"/>
      <c r="H35" s="202"/>
    </row>
    <row r="36" spans="4:11" x14ac:dyDescent="0.2">
      <c r="D36" s="204"/>
      <c r="E36" s="205">
        <f>SUM(E3:E20,E22,E24:E27)</f>
        <v>20890478.890000001</v>
      </c>
      <c r="F36" s="202"/>
      <c r="G36" s="202"/>
      <c r="H36" s="20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Arkusz31">
    <tabColor theme="9" tint="0.59999389629810485"/>
  </sheetPr>
  <dimension ref="A1:K36"/>
  <sheetViews>
    <sheetView zoomScale="80" zoomScaleNormal="80" workbookViewId="0"/>
  </sheetViews>
  <sheetFormatPr defaultRowHeight="14.25" x14ac:dyDescent="0.2"/>
  <cols>
    <col min="1" max="3" width="9.140625" style="204"/>
    <col min="4" max="4" width="9.140625" style="202"/>
    <col min="5" max="5" width="14.42578125" style="204" customWidth="1"/>
    <col min="6" max="6" width="11.85546875" style="204" customWidth="1"/>
    <col min="7" max="7" width="11.7109375" style="204" customWidth="1"/>
    <col min="8" max="8" width="11.140625" style="204" customWidth="1"/>
    <col min="9" max="10" width="5.85546875" style="204" customWidth="1"/>
    <col min="11" max="16384" width="9.140625" style="204"/>
  </cols>
  <sheetData>
    <row r="1" spans="1:10" s="394" customFormat="1" x14ac:dyDescent="0.2">
      <c r="A1" s="392" t="s">
        <v>22</v>
      </c>
      <c r="B1" s="392" t="s">
        <v>23</v>
      </c>
      <c r="C1" s="392" t="s">
        <v>24</v>
      </c>
      <c r="D1" s="392" t="s">
        <v>25</v>
      </c>
      <c r="E1" s="393" t="s">
        <v>95</v>
      </c>
      <c r="F1" s="393" t="s">
        <v>53</v>
      </c>
      <c r="G1" s="393" t="s">
        <v>54</v>
      </c>
      <c r="H1" s="393" t="s">
        <v>94</v>
      </c>
    </row>
    <row r="2" spans="1:10" x14ac:dyDescent="0.2">
      <c r="A2" s="202" t="s">
        <v>352</v>
      </c>
      <c r="B2" s="202" t="s">
        <v>26</v>
      </c>
      <c r="C2" s="202" t="s">
        <v>362</v>
      </c>
      <c r="D2" s="202" t="s">
        <v>27</v>
      </c>
      <c r="E2" s="205">
        <v>8282094.5899999999</v>
      </c>
      <c r="F2" s="205">
        <v>787</v>
      </c>
      <c r="G2" s="205">
        <v>591</v>
      </c>
      <c r="H2" s="205">
        <v>538</v>
      </c>
    </row>
    <row r="3" spans="1:10" x14ac:dyDescent="0.2">
      <c r="A3" s="202" t="s">
        <v>352</v>
      </c>
      <c r="B3" s="202" t="s">
        <v>26</v>
      </c>
      <c r="C3" s="202" t="s">
        <v>362</v>
      </c>
      <c r="D3" s="202" t="s">
        <v>28</v>
      </c>
      <c r="E3" s="393">
        <v>3143175.25</v>
      </c>
      <c r="F3" s="393">
        <v>427</v>
      </c>
      <c r="G3" s="393">
        <v>304</v>
      </c>
      <c r="H3" s="393">
        <v>270</v>
      </c>
      <c r="I3" s="417" t="s">
        <v>28</v>
      </c>
      <c r="J3" s="417">
        <v>1</v>
      </c>
    </row>
    <row r="4" spans="1:10" x14ac:dyDescent="0.2">
      <c r="A4" s="202" t="s">
        <v>352</v>
      </c>
      <c r="B4" s="202" t="s">
        <v>26</v>
      </c>
      <c r="C4" s="202" t="s">
        <v>362</v>
      </c>
      <c r="D4" s="202" t="s">
        <v>29</v>
      </c>
      <c r="E4" s="393">
        <v>265606.5</v>
      </c>
      <c r="F4" s="393">
        <v>46</v>
      </c>
      <c r="G4" s="393">
        <v>35</v>
      </c>
      <c r="H4" s="393">
        <v>29</v>
      </c>
      <c r="I4" s="417" t="s">
        <v>29</v>
      </c>
      <c r="J4" s="417">
        <v>2</v>
      </c>
    </row>
    <row r="5" spans="1:10" x14ac:dyDescent="0.2">
      <c r="A5" s="202" t="s">
        <v>352</v>
      </c>
      <c r="B5" s="202" t="s">
        <v>26</v>
      </c>
      <c r="C5" s="202" t="s">
        <v>362</v>
      </c>
      <c r="D5" s="202" t="s">
        <v>30</v>
      </c>
      <c r="E5" s="393">
        <v>594726.61</v>
      </c>
      <c r="F5" s="393">
        <v>136</v>
      </c>
      <c r="G5" s="393">
        <v>115</v>
      </c>
      <c r="H5" s="393">
        <v>113</v>
      </c>
      <c r="I5" s="417" t="s">
        <v>30</v>
      </c>
      <c r="J5" s="417">
        <v>3</v>
      </c>
    </row>
    <row r="6" spans="1:10" x14ac:dyDescent="0.2">
      <c r="A6" s="202" t="s">
        <v>352</v>
      </c>
      <c r="B6" s="202" t="s">
        <v>26</v>
      </c>
      <c r="C6" s="202" t="s">
        <v>362</v>
      </c>
      <c r="D6" s="202" t="s">
        <v>31</v>
      </c>
      <c r="E6" s="393">
        <v>277572.31</v>
      </c>
      <c r="F6" s="393">
        <v>22</v>
      </c>
      <c r="G6" s="393">
        <v>15</v>
      </c>
      <c r="H6" s="393">
        <v>15</v>
      </c>
      <c r="I6" s="417" t="s">
        <v>31</v>
      </c>
      <c r="J6" s="417">
        <v>4</v>
      </c>
    </row>
    <row r="7" spans="1:10" x14ac:dyDescent="0.2">
      <c r="A7" s="202" t="s">
        <v>352</v>
      </c>
      <c r="B7" s="202" t="s">
        <v>26</v>
      </c>
      <c r="C7" s="202" t="s">
        <v>362</v>
      </c>
      <c r="D7" s="202" t="s">
        <v>32</v>
      </c>
      <c r="E7" s="205">
        <v>26139</v>
      </c>
      <c r="F7" s="205">
        <v>11</v>
      </c>
      <c r="G7" s="205">
        <v>9</v>
      </c>
      <c r="H7" s="205">
        <v>1</v>
      </c>
      <c r="I7" s="206"/>
    </row>
    <row r="8" spans="1:10" x14ac:dyDescent="0.2">
      <c r="A8" s="202" t="s">
        <v>352</v>
      </c>
      <c r="B8" s="202" t="s">
        <v>26</v>
      </c>
      <c r="C8" s="202" t="s">
        <v>362</v>
      </c>
      <c r="D8" s="202" t="s">
        <v>33</v>
      </c>
      <c r="E8" s="205">
        <v>0</v>
      </c>
      <c r="F8" s="205">
        <v>0</v>
      </c>
      <c r="G8" s="205">
        <v>0</v>
      </c>
      <c r="H8" s="205">
        <v>0</v>
      </c>
      <c r="I8" s="206"/>
    </row>
    <row r="9" spans="1:10" x14ac:dyDescent="0.2">
      <c r="A9" s="202" t="s">
        <v>352</v>
      </c>
      <c r="B9" s="202" t="s">
        <v>26</v>
      </c>
      <c r="C9" s="202" t="s">
        <v>362</v>
      </c>
      <c r="D9" s="202" t="s">
        <v>34</v>
      </c>
      <c r="E9" s="205">
        <v>0</v>
      </c>
      <c r="F9" s="205">
        <v>0</v>
      </c>
      <c r="G9" s="205">
        <v>0</v>
      </c>
      <c r="H9" s="205">
        <v>0</v>
      </c>
      <c r="I9" s="206"/>
    </row>
    <row r="10" spans="1:10" x14ac:dyDescent="0.2">
      <c r="A10" s="202" t="s">
        <v>352</v>
      </c>
      <c r="B10" s="202" t="s">
        <v>26</v>
      </c>
      <c r="C10" s="202" t="s">
        <v>362</v>
      </c>
      <c r="D10" s="202" t="s">
        <v>35</v>
      </c>
      <c r="E10" s="205">
        <v>0</v>
      </c>
      <c r="F10" s="205">
        <v>0</v>
      </c>
      <c r="G10" s="205">
        <v>0</v>
      </c>
      <c r="H10" s="205">
        <v>0</v>
      </c>
      <c r="I10" s="206"/>
    </row>
    <row r="11" spans="1:10" x14ac:dyDescent="0.2">
      <c r="A11" s="202" t="s">
        <v>352</v>
      </c>
      <c r="B11" s="202" t="s">
        <v>26</v>
      </c>
      <c r="C11" s="202" t="s">
        <v>362</v>
      </c>
      <c r="D11" s="202" t="s">
        <v>36</v>
      </c>
      <c r="E11" s="205">
        <v>0</v>
      </c>
      <c r="F11" s="205">
        <v>0</v>
      </c>
      <c r="G11" s="205">
        <v>0</v>
      </c>
      <c r="H11" s="205">
        <v>0</v>
      </c>
      <c r="I11" s="206"/>
    </row>
    <row r="12" spans="1:10" x14ac:dyDescent="0.2">
      <c r="A12" s="202" t="s">
        <v>352</v>
      </c>
      <c r="B12" s="202" t="s">
        <v>26</v>
      </c>
      <c r="C12" s="202" t="s">
        <v>362</v>
      </c>
      <c r="D12" s="202" t="s">
        <v>37</v>
      </c>
      <c r="E12" s="205">
        <v>0</v>
      </c>
      <c r="F12" s="205">
        <v>0</v>
      </c>
      <c r="G12" s="205">
        <v>0</v>
      </c>
      <c r="H12" s="205">
        <v>0</v>
      </c>
      <c r="I12" s="206"/>
    </row>
    <row r="13" spans="1:10" x14ac:dyDescent="0.2">
      <c r="A13" s="202" t="s">
        <v>352</v>
      </c>
      <c r="B13" s="202" t="s">
        <v>26</v>
      </c>
      <c r="C13" s="202" t="s">
        <v>362</v>
      </c>
      <c r="D13" s="202" t="s">
        <v>26</v>
      </c>
      <c r="E13" s="205">
        <v>17823.7</v>
      </c>
      <c r="F13" s="205">
        <v>3</v>
      </c>
      <c r="G13" s="205">
        <v>0</v>
      </c>
      <c r="H13" s="205">
        <v>0</v>
      </c>
      <c r="I13" s="206"/>
    </row>
    <row r="14" spans="1:10" x14ac:dyDescent="0.2">
      <c r="A14" s="202" t="s">
        <v>352</v>
      </c>
      <c r="B14" s="202" t="s">
        <v>26</v>
      </c>
      <c r="C14" s="202" t="s">
        <v>362</v>
      </c>
      <c r="D14" s="202" t="s">
        <v>38</v>
      </c>
      <c r="E14" s="205">
        <v>0</v>
      </c>
      <c r="F14" s="205">
        <v>0</v>
      </c>
      <c r="G14" s="205">
        <v>0</v>
      </c>
      <c r="H14" s="205">
        <v>0</v>
      </c>
      <c r="I14" s="206"/>
    </row>
    <row r="15" spans="1:10" x14ac:dyDescent="0.2">
      <c r="A15" s="202" t="s">
        <v>352</v>
      </c>
      <c r="B15" s="202" t="s">
        <v>26</v>
      </c>
      <c r="C15" s="202" t="s">
        <v>362</v>
      </c>
      <c r="D15" s="202" t="s">
        <v>39</v>
      </c>
      <c r="E15" s="393">
        <v>60000</v>
      </c>
      <c r="F15" s="393">
        <v>6</v>
      </c>
      <c r="G15" s="393">
        <v>4</v>
      </c>
      <c r="H15" s="393">
        <v>4</v>
      </c>
      <c r="I15" s="213"/>
      <c r="J15" s="417">
        <v>7</v>
      </c>
    </row>
    <row r="16" spans="1:10" x14ac:dyDescent="0.2">
      <c r="A16" s="202" t="s">
        <v>352</v>
      </c>
      <c r="B16" s="202" t="s">
        <v>26</v>
      </c>
      <c r="C16" s="202" t="s">
        <v>362</v>
      </c>
      <c r="D16" s="202" t="s">
        <v>40</v>
      </c>
      <c r="E16" s="205">
        <v>50081.02</v>
      </c>
      <c r="F16" s="205">
        <v>6</v>
      </c>
      <c r="G16" s="205">
        <v>4</v>
      </c>
      <c r="H16" s="205">
        <v>4</v>
      </c>
      <c r="I16" s="206"/>
    </row>
    <row r="17" spans="1:11" x14ac:dyDescent="0.2">
      <c r="A17" s="202" t="s">
        <v>352</v>
      </c>
      <c r="B17" s="202" t="s">
        <v>26</v>
      </c>
      <c r="C17" s="202" t="s">
        <v>362</v>
      </c>
      <c r="D17" s="202" t="s">
        <v>41</v>
      </c>
      <c r="E17" s="205">
        <v>0</v>
      </c>
      <c r="F17" s="205">
        <v>0</v>
      </c>
      <c r="G17" s="205">
        <v>0</v>
      </c>
      <c r="H17" s="205">
        <v>0</v>
      </c>
      <c r="I17" s="206"/>
    </row>
    <row r="18" spans="1:11" x14ac:dyDescent="0.2">
      <c r="A18" s="202" t="s">
        <v>352</v>
      </c>
      <c r="B18" s="202" t="s">
        <v>26</v>
      </c>
      <c r="C18" s="202" t="s">
        <v>362</v>
      </c>
      <c r="D18" s="202" t="s">
        <v>42</v>
      </c>
      <c r="E18" s="205">
        <v>0</v>
      </c>
      <c r="F18" s="205">
        <v>0</v>
      </c>
      <c r="G18" s="205">
        <v>0</v>
      </c>
      <c r="H18" s="205">
        <v>0</v>
      </c>
      <c r="I18" s="206"/>
    </row>
    <row r="19" spans="1:11" x14ac:dyDescent="0.2">
      <c r="A19" s="202" t="s">
        <v>352</v>
      </c>
      <c r="B19" s="202" t="s">
        <v>26</v>
      </c>
      <c r="C19" s="202" t="s">
        <v>362</v>
      </c>
      <c r="D19" s="202" t="s">
        <v>43</v>
      </c>
      <c r="E19" s="205">
        <v>0</v>
      </c>
      <c r="F19" s="205">
        <v>0</v>
      </c>
      <c r="G19" s="205">
        <v>0</v>
      </c>
      <c r="H19" s="205">
        <v>0</v>
      </c>
      <c r="I19" s="206"/>
    </row>
    <row r="20" spans="1:11" x14ac:dyDescent="0.2">
      <c r="A20" s="202" t="s">
        <v>352</v>
      </c>
      <c r="B20" s="202" t="s">
        <v>26</v>
      </c>
      <c r="C20" s="202" t="s">
        <v>362</v>
      </c>
      <c r="D20" s="202" t="s">
        <v>44</v>
      </c>
      <c r="E20" s="393">
        <v>1796793</v>
      </c>
      <c r="F20" s="393">
        <v>68</v>
      </c>
      <c r="G20" s="393">
        <v>62</v>
      </c>
      <c r="H20" s="393">
        <v>61</v>
      </c>
      <c r="I20" s="417">
        <v>19</v>
      </c>
      <c r="J20" s="417">
        <v>5</v>
      </c>
    </row>
    <row r="21" spans="1:11" x14ac:dyDescent="0.2">
      <c r="A21" s="202" t="s">
        <v>352</v>
      </c>
      <c r="B21" s="202" t="s">
        <v>26</v>
      </c>
      <c r="C21" s="202" t="s">
        <v>362</v>
      </c>
      <c r="D21" s="202" t="s">
        <v>45</v>
      </c>
      <c r="E21" s="205">
        <v>0</v>
      </c>
      <c r="F21" s="205">
        <v>0</v>
      </c>
      <c r="G21" s="205">
        <v>0</v>
      </c>
      <c r="H21" s="205">
        <v>0</v>
      </c>
      <c r="I21" s="206"/>
    </row>
    <row r="22" spans="1:11" x14ac:dyDescent="0.2">
      <c r="A22" s="202" t="s">
        <v>352</v>
      </c>
      <c r="B22" s="202" t="s">
        <v>26</v>
      </c>
      <c r="C22" s="202" t="s">
        <v>362</v>
      </c>
      <c r="D22" s="202" t="s">
        <v>46</v>
      </c>
      <c r="E22" s="393">
        <v>2050177.2</v>
      </c>
      <c r="F22" s="393">
        <v>62</v>
      </c>
      <c r="G22" s="393">
        <v>43</v>
      </c>
      <c r="H22" s="393">
        <v>41</v>
      </c>
      <c r="I22" s="417" t="s">
        <v>46</v>
      </c>
      <c r="J22" s="417">
        <v>6</v>
      </c>
    </row>
    <row r="23" spans="1:11" x14ac:dyDescent="0.2">
      <c r="A23" s="202" t="s">
        <v>352</v>
      </c>
      <c r="B23" s="202" t="s">
        <v>26</v>
      </c>
      <c r="C23" s="202" t="s">
        <v>362</v>
      </c>
      <c r="D23" s="202" t="s">
        <v>47</v>
      </c>
      <c r="E23" s="205">
        <v>0</v>
      </c>
      <c r="F23" s="205">
        <v>0</v>
      </c>
      <c r="G23" s="205">
        <v>0</v>
      </c>
      <c r="H23" s="205">
        <v>0</v>
      </c>
    </row>
    <row r="24" spans="1:11" x14ac:dyDescent="0.2">
      <c r="A24" s="202" t="s">
        <v>352</v>
      </c>
      <c r="B24" s="202" t="s">
        <v>26</v>
      </c>
      <c r="C24" s="202" t="s">
        <v>362</v>
      </c>
      <c r="D24" s="202" t="s">
        <v>48</v>
      </c>
      <c r="E24" s="205">
        <v>0</v>
      </c>
      <c r="F24" s="205">
        <v>0</v>
      </c>
      <c r="G24" s="205">
        <v>0</v>
      </c>
      <c r="H24" s="205">
        <v>0</v>
      </c>
    </row>
    <row r="25" spans="1:11" x14ac:dyDescent="0.2">
      <c r="A25" s="202" t="s">
        <v>352</v>
      </c>
      <c r="B25" s="202" t="s">
        <v>26</v>
      </c>
      <c r="C25" s="202" t="s">
        <v>362</v>
      </c>
      <c r="D25" s="202" t="s">
        <v>354</v>
      </c>
      <c r="E25" s="205">
        <v>0</v>
      </c>
      <c r="F25" s="205">
        <v>0</v>
      </c>
      <c r="G25" s="205">
        <v>0</v>
      </c>
      <c r="H25" s="205">
        <v>0</v>
      </c>
    </row>
    <row r="26" spans="1:11" x14ac:dyDescent="0.2">
      <c r="A26" s="202" t="s">
        <v>352</v>
      </c>
      <c r="B26" s="202" t="s">
        <v>26</v>
      </c>
      <c r="C26" s="202" t="s">
        <v>362</v>
      </c>
      <c r="D26" s="202" t="s">
        <v>355</v>
      </c>
      <c r="E26" s="205">
        <v>0</v>
      </c>
      <c r="F26" s="205">
        <v>0</v>
      </c>
      <c r="G26" s="205">
        <v>0</v>
      </c>
      <c r="H26" s="205">
        <v>0</v>
      </c>
    </row>
    <row r="27" spans="1:11" x14ac:dyDescent="0.2">
      <c r="A27" s="202" t="s">
        <v>352</v>
      </c>
      <c r="B27" s="202" t="s">
        <v>26</v>
      </c>
      <c r="C27" s="202" t="s">
        <v>362</v>
      </c>
      <c r="D27" s="202" t="s">
        <v>356</v>
      </c>
      <c r="E27" s="205">
        <v>0</v>
      </c>
      <c r="F27" s="205">
        <v>0</v>
      </c>
      <c r="G27" s="205">
        <v>0</v>
      </c>
      <c r="H27" s="205">
        <v>0</v>
      </c>
    </row>
    <row r="28" spans="1:11" x14ac:dyDescent="0.2">
      <c r="A28" s="254" t="s">
        <v>352</v>
      </c>
      <c r="B28" s="254" t="s">
        <v>26</v>
      </c>
      <c r="C28" s="254" t="s">
        <v>362</v>
      </c>
      <c r="D28" s="254" t="s">
        <v>357</v>
      </c>
      <c r="E28" s="255">
        <v>16564189.18</v>
      </c>
      <c r="F28" s="255">
        <v>1574</v>
      </c>
      <c r="G28" s="255">
        <v>1182</v>
      </c>
      <c r="H28" s="255">
        <v>1076</v>
      </c>
    </row>
    <row r="29" spans="1:11" x14ac:dyDescent="0.2">
      <c r="A29" s="202" t="s">
        <v>352</v>
      </c>
      <c r="B29" s="202" t="s">
        <v>26</v>
      </c>
      <c r="C29" s="202" t="s">
        <v>362</v>
      </c>
      <c r="D29" s="202" t="s">
        <v>49</v>
      </c>
      <c r="E29" s="205">
        <v>900</v>
      </c>
      <c r="F29" s="205">
        <v>0</v>
      </c>
      <c r="G29" s="205">
        <v>0</v>
      </c>
      <c r="H29" s="205">
        <v>0</v>
      </c>
    </row>
    <row r="30" spans="1:11" x14ac:dyDescent="0.2">
      <c r="A30" s="202" t="s">
        <v>352</v>
      </c>
      <c r="B30" s="202" t="s">
        <v>26</v>
      </c>
      <c r="C30" s="202" t="s">
        <v>362</v>
      </c>
      <c r="D30" s="202" t="s">
        <v>50</v>
      </c>
      <c r="E30" s="205">
        <v>40</v>
      </c>
      <c r="F30" s="205">
        <v>0</v>
      </c>
      <c r="G30" s="205">
        <v>0</v>
      </c>
      <c r="H30" s="205">
        <v>0</v>
      </c>
    </row>
    <row r="31" spans="1:11" x14ac:dyDescent="0.2">
      <c r="D31" s="209" t="s">
        <v>93</v>
      </c>
      <c r="E31" s="210">
        <f>SUM(E3:E6,E20,E22)</f>
        <v>8128050.8700000001</v>
      </c>
      <c r="F31" s="210">
        <f>SUM(F3:F6,F20,F22)</f>
        <v>761</v>
      </c>
      <c r="G31" s="210">
        <f>SUM(G3:G6,G20,G22)</f>
        <v>574</v>
      </c>
      <c r="H31" s="210">
        <f>SUM(H3:H6,H20,H22)</f>
        <v>529</v>
      </c>
      <c r="I31" s="212"/>
      <c r="K31" s="393">
        <f>SUM(H31)/G31*100</f>
        <v>92.160278745644604</v>
      </c>
    </row>
    <row r="32" spans="1:11" x14ac:dyDescent="0.2">
      <c r="D32" s="416" t="s">
        <v>105</v>
      </c>
      <c r="E32" s="393">
        <f>E3+E4+E5+E6+E20+E22</f>
        <v>8128050.8700000001</v>
      </c>
      <c r="I32" s="212"/>
    </row>
    <row r="33" spans="4:11" x14ac:dyDescent="0.2">
      <c r="D33" s="204"/>
      <c r="E33" s="205">
        <f>SUM(E3:E20,E22,E24:E27)</f>
        <v>8282094.5899999999</v>
      </c>
      <c r="I33" s="212"/>
    </row>
    <row r="34" spans="4:11" x14ac:dyDescent="0.2">
      <c r="D34" s="209" t="s">
        <v>295</v>
      </c>
      <c r="E34" s="210">
        <f>SUM(E3:E6,E15,E20,E22)</f>
        <v>8188050.8700000001</v>
      </c>
      <c r="F34" s="210">
        <f>SUM(F3:F6,F15,F20,F22)</f>
        <v>767</v>
      </c>
      <c r="G34" s="210">
        <f>SUM(G3:G6,G15,G20,G22)</f>
        <v>578</v>
      </c>
      <c r="H34" s="210">
        <f>SUM(H3:H6,H15,H20,H22)</f>
        <v>533</v>
      </c>
      <c r="I34" s="212"/>
      <c r="K34" s="393">
        <f>SUM(H34)/G34*100</f>
        <v>92.214532871972324</v>
      </c>
    </row>
    <row r="35" spans="4:11" x14ac:dyDescent="0.2">
      <c r="D35" s="416" t="s">
        <v>105</v>
      </c>
      <c r="E35" s="393">
        <f>E3+E4+E5+E6+E15+E20+E22</f>
        <v>8188050.8700000001</v>
      </c>
      <c r="F35" s="202"/>
      <c r="G35" s="202"/>
      <c r="H35" s="202"/>
    </row>
    <row r="36" spans="4:11" x14ac:dyDescent="0.2">
      <c r="D36" s="204"/>
      <c r="E36" s="205">
        <f>SUM(E3:E20,E22,E24:E27)</f>
        <v>8282094.5899999999</v>
      </c>
      <c r="F36" s="202"/>
      <c r="G36" s="202"/>
      <c r="H36" s="20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Arkusz32">
    <tabColor theme="9" tint="0.59999389629810485"/>
  </sheetPr>
  <dimension ref="A1:K36"/>
  <sheetViews>
    <sheetView zoomScale="80" zoomScaleNormal="80" workbookViewId="0"/>
  </sheetViews>
  <sheetFormatPr defaultRowHeight="14.25" x14ac:dyDescent="0.2"/>
  <cols>
    <col min="1" max="3" width="9.140625" style="204"/>
    <col min="4" max="4" width="9.140625" style="202"/>
    <col min="5" max="5" width="13.42578125" style="204" customWidth="1"/>
    <col min="6" max="6" width="11.85546875" style="204" customWidth="1"/>
    <col min="7" max="7" width="11.7109375" style="204" customWidth="1"/>
    <col min="8" max="8" width="11.140625" style="204" customWidth="1"/>
    <col min="9" max="10" width="5.85546875" style="204" customWidth="1"/>
    <col min="11" max="16384" width="9.140625" style="204"/>
  </cols>
  <sheetData>
    <row r="1" spans="1:10" s="394" customFormat="1" x14ac:dyDescent="0.2">
      <c r="A1" s="392" t="s">
        <v>22</v>
      </c>
      <c r="B1" s="392" t="s">
        <v>23</v>
      </c>
      <c r="C1" s="392" t="s">
        <v>24</v>
      </c>
      <c r="D1" s="392" t="s">
        <v>25</v>
      </c>
      <c r="E1" s="393" t="s">
        <v>95</v>
      </c>
      <c r="F1" s="393" t="s">
        <v>53</v>
      </c>
      <c r="G1" s="393" t="s">
        <v>54</v>
      </c>
      <c r="H1" s="393" t="s">
        <v>94</v>
      </c>
    </row>
    <row r="2" spans="1:10" x14ac:dyDescent="0.2">
      <c r="A2" s="202" t="s">
        <v>352</v>
      </c>
      <c r="B2" s="202" t="s">
        <v>26</v>
      </c>
      <c r="C2" s="202" t="s">
        <v>363</v>
      </c>
      <c r="D2" s="202" t="s">
        <v>27</v>
      </c>
      <c r="E2" s="205">
        <v>10076347.220000001</v>
      </c>
      <c r="F2" s="205">
        <v>995</v>
      </c>
      <c r="G2" s="205">
        <v>671</v>
      </c>
      <c r="H2" s="205">
        <v>543</v>
      </c>
    </row>
    <row r="3" spans="1:10" x14ac:dyDescent="0.2">
      <c r="A3" s="202" t="s">
        <v>352</v>
      </c>
      <c r="B3" s="202" t="s">
        <v>26</v>
      </c>
      <c r="C3" s="202" t="s">
        <v>363</v>
      </c>
      <c r="D3" s="202" t="s">
        <v>28</v>
      </c>
      <c r="E3" s="393">
        <v>2498209.8199999998</v>
      </c>
      <c r="F3" s="393">
        <v>344</v>
      </c>
      <c r="G3" s="393">
        <v>240</v>
      </c>
      <c r="H3" s="393">
        <v>199</v>
      </c>
      <c r="I3" s="417" t="s">
        <v>28</v>
      </c>
      <c r="J3" s="417">
        <v>1</v>
      </c>
    </row>
    <row r="4" spans="1:10" x14ac:dyDescent="0.2">
      <c r="A4" s="202" t="s">
        <v>352</v>
      </c>
      <c r="B4" s="202" t="s">
        <v>26</v>
      </c>
      <c r="C4" s="202" t="s">
        <v>363</v>
      </c>
      <c r="D4" s="202" t="s">
        <v>29</v>
      </c>
      <c r="E4" s="393">
        <v>206889.13</v>
      </c>
      <c r="F4" s="393">
        <v>113</v>
      </c>
      <c r="G4" s="393">
        <v>53</v>
      </c>
      <c r="H4" s="393">
        <v>24</v>
      </c>
      <c r="I4" s="417" t="s">
        <v>29</v>
      </c>
      <c r="J4" s="417">
        <v>2</v>
      </c>
    </row>
    <row r="5" spans="1:10" x14ac:dyDescent="0.2">
      <c r="A5" s="202" t="s">
        <v>352</v>
      </c>
      <c r="B5" s="202" t="s">
        <v>26</v>
      </c>
      <c r="C5" s="202" t="s">
        <v>363</v>
      </c>
      <c r="D5" s="202" t="s">
        <v>30</v>
      </c>
      <c r="E5" s="393">
        <v>346883.04</v>
      </c>
      <c r="F5" s="393">
        <v>82</v>
      </c>
      <c r="G5" s="393">
        <v>56</v>
      </c>
      <c r="H5" s="393">
        <v>54</v>
      </c>
      <c r="I5" s="417" t="s">
        <v>30</v>
      </c>
      <c r="J5" s="417">
        <v>3</v>
      </c>
    </row>
    <row r="6" spans="1:10" x14ac:dyDescent="0.2">
      <c r="A6" s="202" t="s">
        <v>352</v>
      </c>
      <c r="B6" s="202" t="s">
        <v>26</v>
      </c>
      <c r="C6" s="202" t="s">
        <v>363</v>
      </c>
      <c r="D6" s="202" t="s">
        <v>31</v>
      </c>
      <c r="E6" s="393">
        <v>215762.19</v>
      </c>
      <c r="F6" s="393">
        <v>32</v>
      </c>
      <c r="G6" s="393">
        <v>28</v>
      </c>
      <c r="H6" s="393">
        <v>27</v>
      </c>
      <c r="I6" s="417" t="s">
        <v>31</v>
      </c>
      <c r="J6" s="417">
        <v>4</v>
      </c>
    </row>
    <row r="7" spans="1:10" x14ac:dyDescent="0.2">
      <c r="A7" s="202" t="s">
        <v>352</v>
      </c>
      <c r="B7" s="202" t="s">
        <v>26</v>
      </c>
      <c r="C7" s="202" t="s">
        <v>363</v>
      </c>
      <c r="D7" s="202" t="s">
        <v>32</v>
      </c>
      <c r="E7" s="205">
        <v>62120.1</v>
      </c>
      <c r="F7" s="205">
        <v>52</v>
      </c>
      <c r="G7" s="205">
        <v>42</v>
      </c>
      <c r="H7" s="205">
        <v>0</v>
      </c>
      <c r="I7" s="206"/>
    </row>
    <row r="8" spans="1:10" x14ac:dyDescent="0.2">
      <c r="A8" s="202" t="s">
        <v>352</v>
      </c>
      <c r="B8" s="202" t="s">
        <v>26</v>
      </c>
      <c r="C8" s="202" t="s">
        <v>363</v>
      </c>
      <c r="D8" s="202" t="s">
        <v>33</v>
      </c>
      <c r="E8" s="205">
        <v>0</v>
      </c>
      <c r="F8" s="205">
        <v>0</v>
      </c>
      <c r="G8" s="205">
        <v>0</v>
      </c>
      <c r="H8" s="205">
        <v>0</v>
      </c>
      <c r="I8" s="206"/>
    </row>
    <row r="9" spans="1:10" x14ac:dyDescent="0.2">
      <c r="A9" s="202" t="s">
        <v>352</v>
      </c>
      <c r="B9" s="202" t="s">
        <v>26</v>
      </c>
      <c r="C9" s="202" t="s">
        <v>363</v>
      </c>
      <c r="D9" s="202" t="s">
        <v>34</v>
      </c>
      <c r="E9" s="205">
        <v>38885.949999999997</v>
      </c>
      <c r="F9" s="205">
        <v>6</v>
      </c>
      <c r="G9" s="205">
        <v>3</v>
      </c>
      <c r="H9" s="205">
        <v>3</v>
      </c>
      <c r="I9" s="206"/>
    </row>
    <row r="10" spans="1:10" x14ac:dyDescent="0.2">
      <c r="A10" s="202" t="s">
        <v>352</v>
      </c>
      <c r="B10" s="202" t="s">
        <v>26</v>
      </c>
      <c r="C10" s="202" t="s">
        <v>363</v>
      </c>
      <c r="D10" s="202" t="s">
        <v>35</v>
      </c>
      <c r="E10" s="205">
        <v>0</v>
      </c>
      <c r="F10" s="205">
        <v>0</v>
      </c>
      <c r="G10" s="205">
        <v>0</v>
      </c>
      <c r="H10" s="205">
        <v>0</v>
      </c>
      <c r="I10" s="206"/>
    </row>
    <row r="11" spans="1:10" x14ac:dyDescent="0.2">
      <c r="A11" s="202" t="s">
        <v>352</v>
      </c>
      <c r="B11" s="202" t="s">
        <v>26</v>
      </c>
      <c r="C11" s="202" t="s">
        <v>363</v>
      </c>
      <c r="D11" s="202" t="s">
        <v>36</v>
      </c>
      <c r="E11" s="205">
        <v>0</v>
      </c>
      <c r="F11" s="205">
        <v>0</v>
      </c>
      <c r="G11" s="205">
        <v>0</v>
      </c>
      <c r="H11" s="205">
        <v>0</v>
      </c>
      <c r="I11" s="206"/>
    </row>
    <row r="12" spans="1:10" x14ac:dyDescent="0.2">
      <c r="A12" s="202" t="s">
        <v>352</v>
      </c>
      <c r="B12" s="202" t="s">
        <v>26</v>
      </c>
      <c r="C12" s="202" t="s">
        <v>363</v>
      </c>
      <c r="D12" s="202" t="s">
        <v>37</v>
      </c>
      <c r="E12" s="205">
        <v>1913.45</v>
      </c>
      <c r="F12" s="205">
        <v>1</v>
      </c>
      <c r="G12" s="205">
        <v>0</v>
      </c>
      <c r="H12" s="205">
        <v>0</v>
      </c>
      <c r="I12" s="206"/>
    </row>
    <row r="13" spans="1:10" x14ac:dyDescent="0.2">
      <c r="A13" s="202" t="s">
        <v>352</v>
      </c>
      <c r="B13" s="202" t="s">
        <v>26</v>
      </c>
      <c r="C13" s="202" t="s">
        <v>363</v>
      </c>
      <c r="D13" s="202" t="s">
        <v>26</v>
      </c>
      <c r="E13" s="205">
        <v>15385.6</v>
      </c>
      <c r="F13" s="205">
        <v>4</v>
      </c>
      <c r="G13" s="205">
        <v>1</v>
      </c>
      <c r="H13" s="205">
        <v>1</v>
      </c>
      <c r="I13" s="206"/>
    </row>
    <row r="14" spans="1:10" x14ac:dyDescent="0.2">
      <c r="A14" s="202" t="s">
        <v>352</v>
      </c>
      <c r="B14" s="202" t="s">
        <v>26</v>
      </c>
      <c r="C14" s="202" t="s">
        <v>363</v>
      </c>
      <c r="D14" s="202" t="s">
        <v>38</v>
      </c>
      <c r="E14" s="205">
        <v>312188.90000000002</v>
      </c>
      <c r="F14" s="205">
        <v>53</v>
      </c>
      <c r="G14" s="205">
        <v>21</v>
      </c>
      <c r="H14" s="205">
        <v>19</v>
      </c>
      <c r="I14" s="206"/>
    </row>
    <row r="15" spans="1:10" x14ac:dyDescent="0.2">
      <c r="A15" s="202" t="s">
        <v>352</v>
      </c>
      <c r="B15" s="202" t="s">
        <v>26</v>
      </c>
      <c r="C15" s="202" t="s">
        <v>363</v>
      </c>
      <c r="D15" s="202" t="s">
        <v>39</v>
      </c>
      <c r="E15" s="393">
        <v>329000</v>
      </c>
      <c r="F15" s="393">
        <v>47</v>
      </c>
      <c r="G15" s="393">
        <v>40</v>
      </c>
      <c r="H15" s="393">
        <v>39</v>
      </c>
      <c r="I15" s="213"/>
      <c r="J15" s="417">
        <v>7</v>
      </c>
    </row>
    <row r="16" spans="1:10" x14ac:dyDescent="0.2">
      <c r="A16" s="202" t="s">
        <v>352</v>
      </c>
      <c r="B16" s="202" t="s">
        <v>26</v>
      </c>
      <c r="C16" s="202" t="s">
        <v>363</v>
      </c>
      <c r="D16" s="202" t="s">
        <v>40</v>
      </c>
      <c r="E16" s="205">
        <v>302871.08</v>
      </c>
      <c r="F16" s="205">
        <v>30</v>
      </c>
      <c r="G16" s="205">
        <v>10</v>
      </c>
      <c r="H16" s="205">
        <v>10</v>
      </c>
      <c r="I16" s="206"/>
    </row>
    <row r="17" spans="1:11" x14ac:dyDescent="0.2">
      <c r="A17" s="202" t="s">
        <v>352</v>
      </c>
      <c r="B17" s="202" t="s">
        <v>26</v>
      </c>
      <c r="C17" s="202" t="s">
        <v>363</v>
      </c>
      <c r="D17" s="202" t="s">
        <v>41</v>
      </c>
      <c r="E17" s="205">
        <v>12040</v>
      </c>
      <c r="F17" s="205">
        <v>1</v>
      </c>
      <c r="G17" s="205">
        <v>1</v>
      </c>
      <c r="H17" s="205">
        <v>1</v>
      </c>
      <c r="I17" s="206"/>
    </row>
    <row r="18" spans="1:11" x14ac:dyDescent="0.2">
      <c r="A18" s="202" t="s">
        <v>352</v>
      </c>
      <c r="B18" s="202" t="s">
        <v>26</v>
      </c>
      <c r="C18" s="202" t="s">
        <v>363</v>
      </c>
      <c r="D18" s="202" t="s">
        <v>42</v>
      </c>
      <c r="E18" s="205">
        <v>0</v>
      </c>
      <c r="F18" s="205">
        <v>0</v>
      </c>
      <c r="G18" s="205">
        <v>0</v>
      </c>
      <c r="H18" s="205">
        <v>0</v>
      </c>
      <c r="I18" s="206"/>
    </row>
    <row r="19" spans="1:11" x14ac:dyDescent="0.2">
      <c r="A19" s="202" t="s">
        <v>352</v>
      </c>
      <c r="B19" s="202" t="s">
        <v>26</v>
      </c>
      <c r="C19" s="202" t="s">
        <v>363</v>
      </c>
      <c r="D19" s="202" t="s">
        <v>43</v>
      </c>
      <c r="E19" s="205">
        <v>0</v>
      </c>
      <c r="F19" s="205">
        <v>0</v>
      </c>
      <c r="G19" s="205">
        <v>0</v>
      </c>
      <c r="H19" s="205">
        <v>0</v>
      </c>
      <c r="I19" s="206"/>
    </row>
    <row r="20" spans="1:11" x14ac:dyDescent="0.2">
      <c r="A20" s="202" t="s">
        <v>352</v>
      </c>
      <c r="B20" s="202" t="s">
        <v>26</v>
      </c>
      <c r="C20" s="202" t="s">
        <v>363</v>
      </c>
      <c r="D20" s="202" t="s">
        <v>44</v>
      </c>
      <c r="E20" s="393">
        <v>2535274.9900000002</v>
      </c>
      <c r="F20" s="393">
        <v>102</v>
      </c>
      <c r="G20" s="393">
        <v>109</v>
      </c>
      <c r="H20" s="393">
        <v>107</v>
      </c>
      <c r="I20" s="417">
        <v>19</v>
      </c>
      <c r="J20" s="417">
        <v>5</v>
      </c>
    </row>
    <row r="21" spans="1:11" x14ac:dyDescent="0.2">
      <c r="A21" s="202" t="s">
        <v>352</v>
      </c>
      <c r="B21" s="202" t="s">
        <v>26</v>
      </c>
      <c r="C21" s="202" t="s">
        <v>363</v>
      </c>
      <c r="D21" s="202" t="s">
        <v>45</v>
      </c>
      <c r="E21" s="205">
        <v>0</v>
      </c>
      <c r="F21" s="205">
        <v>0</v>
      </c>
      <c r="G21" s="205">
        <v>0</v>
      </c>
      <c r="H21" s="205">
        <v>0</v>
      </c>
      <c r="I21" s="206"/>
    </row>
    <row r="22" spans="1:11" x14ac:dyDescent="0.2">
      <c r="A22" s="202" t="s">
        <v>352</v>
      </c>
      <c r="B22" s="202" t="s">
        <v>26</v>
      </c>
      <c r="C22" s="202" t="s">
        <v>363</v>
      </c>
      <c r="D22" s="202" t="s">
        <v>46</v>
      </c>
      <c r="E22" s="393">
        <v>3198922.97</v>
      </c>
      <c r="F22" s="393">
        <v>128</v>
      </c>
      <c r="G22" s="393">
        <v>67</v>
      </c>
      <c r="H22" s="393">
        <v>59</v>
      </c>
      <c r="I22" s="417" t="s">
        <v>46</v>
      </c>
      <c r="J22" s="417">
        <v>6</v>
      </c>
    </row>
    <row r="23" spans="1:11" x14ac:dyDescent="0.2">
      <c r="A23" s="202" t="s">
        <v>352</v>
      </c>
      <c r="B23" s="202" t="s">
        <v>26</v>
      </c>
      <c r="C23" s="202" t="s">
        <v>363</v>
      </c>
      <c r="D23" s="202" t="s">
        <v>47</v>
      </c>
      <c r="E23" s="205">
        <v>0</v>
      </c>
      <c r="F23" s="205">
        <v>0</v>
      </c>
      <c r="G23" s="205">
        <v>0</v>
      </c>
      <c r="H23" s="205">
        <v>0</v>
      </c>
    </row>
    <row r="24" spans="1:11" x14ac:dyDescent="0.2">
      <c r="A24" s="202" t="s">
        <v>352</v>
      </c>
      <c r="B24" s="202" t="s">
        <v>26</v>
      </c>
      <c r="C24" s="202" t="s">
        <v>363</v>
      </c>
      <c r="D24" s="202" t="s">
        <v>48</v>
      </c>
      <c r="E24" s="205">
        <v>0</v>
      </c>
      <c r="F24" s="205">
        <v>0</v>
      </c>
      <c r="G24" s="205">
        <v>0</v>
      </c>
      <c r="H24" s="205">
        <v>0</v>
      </c>
    </row>
    <row r="25" spans="1:11" x14ac:dyDescent="0.2">
      <c r="A25" s="202" t="s">
        <v>352</v>
      </c>
      <c r="B25" s="202" t="s">
        <v>26</v>
      </c>
      <c r="C25" s="202" t="s">
        <v>363</v>
      </c>
      <c r="D25" s="202" t="s">
        <v>354</v>
      </c>
      <c r="E25" s="205">
        <v>0</v>
      </c>
      <c r="F25" s="205">
        <v>0</v>
      </c>
      <c r="G25" s="205">
        <v>0</v>
      </c>
      <c r="H25" s="205">
        <v>0</v>
      </c>
    </row>
    <row r="26" spans="1:11" x14ac:dyDescent="0.2">
      <c r="A26" s="202" t="s">
        <v>352</v>
      </c>
      <c r="B26" s="202" t="s">
        <v>26</v>
      </c>
      <c r="C26" s="202" t="s">
        <v>363</v>
      </c>
      <c r="D26" s="202" t="s">
        <v>355</v>
      </c>
      <c r="E26" s="205">
        <v>0</v>
      </c>
      <c r="F26" s="205">
        <v>0</v>
      </c>
      <c r="G26" s="205">
        <v>0</v>
      </c>
      <c r="H26" s="205">
        <v>0</v>
      </c>
    </row>
    <row r="27" spans="1:11" x14ac:dyDescent="0.2">
      <c r="A27" s="202" t="s">
        <v>352</v>
      </c>
      <c r="B27" s="202" t="s">
        <v>26</v>
      </c>
      <c r="C27" s="202" t="s">
        <v>363</v>
      </c>
      <c r="D27" s="202" t="s">
        <v>356</v>
      </c>
      <c r="E27" s="205">
        <v>0</v>
      </c>
      <c r="F27" s="205">
        <v>0</v>
      </c>
      <c r="G27" s="205">
        <v>0</v>
      </c>
      <c r="H27" s="205">
        <v>0</v>
      </c>
    </row>
    <row r="28" spans="1:11" x14ac:dyDescent="0.2">
      <c r="A28" s="254" t="s">
        <v>352</v>
      </c>
      <c r="B28" s="254" t="s">
        <v>26</v>
      </c>
      <c r="C28" s="254" t="s">
        <v>363</v>
      </c>
      <c r="D28" s="254" t="s">
        <v>357</v>
      </c>
      <c r="E28" s="255">
        <v>20152694.440000001</v>
      </c>
      <c r="F28" s="255">
        <v>1990</v>
      </c>
      <c r="G28" s="255">
        <v>1342</v>
      </c>
      <c r="H28" s="255">
        <v>1086</v>
      </c>
    </row>
    <row r="29" spans="1:11" x14ac:dyDescent="0.2">
      <c r="A29" s="202" t="s">
        <v>352</v>
      </c>
      <c r="B29" s="202" t="s">
        <v>26</v>
      </c>
      <c r="C29" s="202" t="s">
        <v>363</v>
      </c>
      <c r="D29" s="202" t="s">
        <v>49</v>
      </c>
      <c r="E29" s="205">
        <v>480</v>
      </c>
      <c r="F29" s="205">
        <v>0</v>
      </c>
      <c r="G29" s="205">
        <v>0</v>
      </c>
      <c r="H29" s="205">
        <v>0</v>
      </c>
    </row>
    <row r="30" spans="1:11" x14ac:dyDescent="0.2">
      <c r="A30" s="202" t="s">
        <v>352</v>
      </c>
      <c r="B30" s="202" t="s">
        <v>26</v>
      </c>
      <c r="C30" s="202" t="s">
        <v>363</v>
      </c>
      <c r="D30" s="202" t="s">
        <v>50</v>
      </c>
      <c r="E30" s="205">
        <v>300</v>
      </c>
      <c r="F30" s="205">
        <v>0</v>
      </c>
      <c r="G30" s="205">
        <v>0</v>
      </c>
      <c r="H30" s="205">
        <v>0</v>
      </c>
    </row>
    <row r="31" spans="1:11" x14ac:dyDescent="0.2">
      <c r="D31" s="209" t="s">
        <v>93</v>
      </c>
      <c r="E31" s="210">
        <f>SUM(E3:E6,E20,E22)</f>
        <v>9001942.1400000006</v>
      </c>
      <c r="F31" s="210">
        <f>SUM(F3:F6,F20,F22)</f>
        <v>801</v>
      </c>
      <c r="G31" s="210">
        <f>SUM(G3:G6,G20,G22)</f>
        <v>553</v>
      </c>
      <c r="H31" s="210">
        <f>SUM(H3:H6,H20,H22)</f>
        <v>470</v>
      </c>
      <c r="I31" s="212"/>
      <c r="K31" s="393">
        <f>SUM(H31)/G31*100</f>
        <v>84.99095840867993</v>
      </c>
    </row>
    <row r="32" spans="1:11" x14ac:dyDescent="0.2">
      <c r="D32" s="418" t="s">
        <v>105</v>
      </c>
      <c r="E32" s="419">
        <f>E3+E4+E5+E6+E20+E22</f>
        <v>9001942.1400000006</v>
      </c>
      <c r="I32" s="212"/>
    </row>
    <row r="33" spans="4:11" x14ac:dyDescent="0.2">
      <c r="D33" s="204"/>
      <c r="E33" s="205">
        <f>SUM(E3:E20,E22,E24:E27)</f>
        <v>10076347.220000001</v>
      </c>
      <c r="I33" s="212"/>
    </row>
    <row r="34" spans="4:11" x14ac:dyDescent="0.2">
      <c r="D34" s="209" t="s">
        <v>295</v>
      </c>
      <c r="E34" s="210">
        <f>SUM(E3:E6,E15,E20,E22)</f>
        <v>9330942.1400000006</v>
      </c>
      <c r="F34" s="210">
        <f>SUM(F3:F6,F15,F20,F22)</f>
        <v>848</v>
      </c>
      <c r="G34" s="210">
        <f>SUM(G3:G6,G15,G20,G22)</f>
        <v>593</v>
      </c>
      <c r="H34" s="210">
        <f>SUM(H3:H6,H15,H20,H22)</f>
        <v>509</v>
      </c>
      <c r="I34" s="212"/>
      <c r="K34" s="393">
        <f>SUM(H34)/G34*100</f>
        <v>85.834738617200685</v>
      </c>
    </row>
    <row r="35" spans="4:11" x14ac:dyDescent="0.2">
      <c r="D35" s="418" t="s">
        <v>105</v>
      </c>
      <c r="E35" s="419">
        <f>E3+E4+E5+E6+E15+E20+E22</f>
        <v>9330942.1400000006</v>
      </c>
      <c r="F35" s="202"/>
      <c r="G35" s="202"/>
      <c r="H35" s="202"/>
    </row>
    <row r="36" spans="4:11" x14ac:dyDescent="0.2">
      <c r="D36" s="204"/>
      <c r="E36" s="205">
        <f>SUM(E3:E20,E22,E24:E27)</f>
        <v>10076347.220000001</v>
      </c>
      <c r="F36" s="202"/>
      <c r="G36" s="202"/>
      <c r="H36" s="20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Arkusz33">
    <tabColor theme="9" tint="0.59999389629810485"/>
  </sheetPr>
  <dimension ref="A1:L36"/>
  <sheetViews>
    <sheetView zoomScale="80" zoomScaleNormal="80" workbookViewId="0"/>
  </sheetViews>
  <sheetFormatPr defaultRowHeight="14.25" x14ac:dyDescent="0.2"/>
  <cols>
    <col min="1" max="3" width="9.140625" style="204"/>
    <col min="4" max="4" width="9.140625" style="202"/>
    <col min="5" max="5" width="13.140625" style="204" customWidth="1"/>
    <col min="6" max="6" width="11.85546875" style="204" customWidth="1"/>
    <col min="7" max="7" width="11.7109375" style="204" customWidth="1"/>
    <col min="8" max="8" width="11.140625" style="204" customWidth="1"/>
    <col min="9" max="10" width="5.85546875" style="204" customWidth="1"/>
    <col min="11" max="11" width="9.140625" style="204"/>
    <col min="12" max="12" width="16.28515625" style="204" customWidth="1"/>
    <col min="13" max="16384" width="9.140625" style="204"/>
  </cols>
  <sheetData>
    <row r="1" spans="1:10" s="394" customFormat="1" x14ac:dyDescent="0.2">
      <c r="A1" s="392" t="s">
        <v>22</v>
      </c>
      <c r="B1" s="392" t="s">
        <v>23</v>
      </c>
      <c r="C1" s="392" t="s">
        <v>24</v>
      </c>
      <c r="D1" s="392" t="s">
        <v>25</v>
      </c>
      <c r="E1" s="393" t="s">
        <v>95</v>
      </c>
      <c r="F1" s="393" t="s">
        <v>53</v>
      </c>
      <c r="G1" s="393" t="s">
        <v>54</v>
      </c>
      <c r="H1" s="393" t="s">
        <v>94</v>
      </c>
    </row>
    <row r="2" spans="1:10" x14ac:dyDescent="0.2">
      <c r="A2" s="202" t="s">
        <v>352</v>
      </c>
      <c r="B2" s="202" t="s">
        <v>26</v>
      </c>
      <c r="C2" s="202" t="s">
        <v>364</v>
      </c>
      <c r="D2" s="202" t="s">
        <v>27</v>
      </c>
      <c r="E2" s="205">
        <v>15285201.52</v>
      </c>
      <c r="F2" s="205">
        <v>1497</v>
      </c>
      <c r="G2" s="205">
        <v>1010</v>
      </c>
      <c r="H2" s="205">
        <v>857</v>
      </c>
    </row>
    <row r="3" spans="1:10" x14ac:dyDescent="0.2">
      <c r="A3" s="202" t="s">
        <v>352</v>
      </c>
      <c r="B3" s="202" t="s">
        <v>26</v>
      </c>
      <c r="C3" s="202" t="s">
        <v>364</v>
      </c>
      <c r="D3" s="202" t="s">
        <v>28</v>
      </c>
      <c r="E3" s="393">
        <v>5918988.7699999996</v>
      </c>
      <c r="F3" s="393">
        <v>730</v>
      </c>
      <c r="G3" s="393">
        <v>501</v>
      </c>
      <c r="H3" s="393">
        <v>456</v>
      </c>
      <c r="I3" s="417" t="s">
        <v>28</v>
      </c>
      <c r="J3" s="417">
        <v>1</v>
      </c>
    </row>
    <row r="4" spans="1:10" x14ac:dyDescent="0.2">
      <c r="A4" s="202" t="s">
        <v>352</v>
      </c>
      <c r="B4" s="202" t="s">
        <v>26</v>
      </c>
      <c r="C4" s="202" t="s">
        <v>364</v>
      </c>
      <c r="D4" s="202" t="s">
        <v>29</v>
      </c>
      <c r="E4" s="393">
        <v>419714.09</v>
      </c>
      <c r="F4" s="393">
        <v>217</v>
      </c>
      <c r="G4" s="393">
        <v>93</v>
      </c>
      <c r="H4" s="393">
        <v>37</v>
      </c>
      <c r="I4" s="417" t="s">
        <v>29</v>
      </c>
      <c r="J4" s="417">
        <v>2</v>
      </c>
    </row>
    <row r="5" spans="1:10" x14ac:dyDescent="0.2">
      <c r="A5" s="202" t="s">
        <v>352</v>
      </c>
      <c r="B5" s="202" t="s">
        <v>26</v>
      </c>
      <c r="C5" s="202" t="s">
        <v>364</v>
      </c>
      <c r="D5" s="202" t="s">
        <v>30</v>
      </c>
      <c r="E5" s="393">
        <v>391534.6</v>
      </c>
      <c r="F5" s="393">
        <v>53</v>
      </c>
      <c r="G5" s="393">
        <v>44</v>
      </c>
      <c r="H5" s="393">
        <v>41</v>
      </c>
      <c r="I5" s="417" t="s">
        <v>30</v>
      </c>
      <c r="J5" s="417">
        <v>3</v>
      </c>
    </row>
    <row r="6" spans="1:10" x14ac:dyDescent="0.2">
      <c r="A6" s="202" t="s">
        <v>352</v>
      </c>
      <c r="B6" s="202" t="s">
        <v>26</v>
      </c>
      <c r="C6" s="202" t="s">
        <v>364</v>
      </c>
      <c r="D6" s="202" t="s">
        <v>31</v>
      </c>
      <c r="E6" s="393">
        <v>1876545.35</v>
      </c>
      <c r="F6" s="393">
        <v>174</v>
      </c>
      <c r="G6" s="393">
        <v>152</v>
      </c>
      <c r="H6" s="393">
        <v>144</v>
      </c>
      <c r="I6" s="417" t="s">
        <v>31</v>
      </c>
      <c r="J6" s="417">
        <v>4</v>
      </c>
    </row>
    <row r="7" spans="1:10" x14ac:dyDescent="0.2">
      <c r="A7" s="202" t="s">
        <v>352</v>
      </c>
      <c r="B7" s="202" t="s">
        <v>26</v>
      </c>
      <c r="C7" s="202" t="s">
        <v>364</v>
      </c>
      <c r="D7" s="202" t="s">
        <v>32</v>
      </c>
      <c r="E7" s="205">
        <v>31147.200000000001</v>
      </c>
      <c r="F7" s="205">
        <v>30</v>
      </c>
      <c r="G7" s="205">
        <v>28</v>
      </c>
      <c r="H7" s="205">
        <v>0</v>
      </c>
      <c r="I7" s="206"/>
    </row>
    <row r="8" spans="1:10" x14ac:dyDescent="0.2">
      <c r="A8" s="202" t="s">
        <v>352</v>
      </c>
      <c r="B8" s="202" t="s">
        <v>26</v>
      </c>
      <c r="C8" s="202" t="s">
        <v>364</v>
      </c>
      <c r="D8" s="202" t="s">
        <v>33</v>
      </c>
      <c r="E8" s="205">
        <v>0</v>
      </c>
      <c r="F8" s="205">
        <v>0</v>
      </c>
      <c r="G8" s="205">
        <v>0</v>
      </c>
      <c r="H8" s="205">
        <v>0</v>
      </c>
      <c r="I8" s="206"/>
    </row>
    <row r="9" spans="1:10" x14ac:dyDescent="0.2">
      <c r="A9" s="202" t="s">
        <v>352</v>
      </c>
      <c r="B9" s="202" t="s">
        <v>26</v>
      </c>
      <c r="C9" s="202" t="s">
        <v>364</v>
      </c>
      <c r="D9" s="202" t="s">
        <v>34</v>
      </c>
      <c r="E9" s="205">
        <v>0</v>
      </c>
      <c r="F9" s="205">
        <v>0</v>
      </c>
      <c r="G9" s="205">
        <v>0</v>
      </c>
      <c r="H9" s="205">
        <v>0</v>
      </c>
      <c r="I9" s="206"/>
    </row>
    <row r="10" spans="1:10" x14ac:dyDescent="0.2">
      <c r="A10" s="202" t="s">
        <v>352</v>
      </c>
      <c r="B10" s="202" t="s">
        <v>26</v>
      </c>
      <c r="C10" s="202" t="s">
        <v>364</v>
      </c>
      <c r="D10" s="202" t="s">
        <v>35</v>
      </c>
      <c r="E10" s="205">
        <v>0</v>
      </c>
      <c r="F10" s="205">
        <v>0</v>
      </c>
      <c r="G10" s="205">
        <v>0</v>
      </c>
      <c r="H10" s="205">
        <v>0</v>
      </c>
      <c r="I10" s="206"/>
    </row>
    <row r="11" spans="1:10" x14ac:dyDescent="0.2">
      <c r="A11" s="202" t="s">
        <v>352</v>
      </c>
      <c r="B11" s="202" t="s">
        <v>26</v>
      </c>
      <c r="C11" s="202" t="s">
        <v>364</v>
      </c>
      <c r="D11" s="202" t="s">
        <v>36</v>
      </c>
      <c r="E11" s="205">
        <v>0</v>
      </c>
      <c r="F11" s="205">
        <v>0</v>
      </c>
      <c r="G11" s="205">
        <v>0</v>
      </c>
      <c r="H11" s="205">
        <v>0</v>
      </c>
      <c r="I11" s="206"/>
    </row>
    <row r="12" spans="1:10" x14ac:dyDescent="0.2">
      <c r="A12" s="202" t="s">
        <v>352</v>
      </c>
      <c r="B12" s="202" t="s">
        <v>26</v>
      </c>
      <c r="C12" s="202" t="s">
        <v>364</v>
      </c>
      <c r="D12" s="202" t="s">
        <v>37</v>
      </c>
      <c r="E12" s="205">
        <v>0</v>
      </c>
      <c r="F12" s="205">
        <v>0</v>
      </c>
      <c r="G12" s="205">
        <v>0</v>
      </c>
      <c r="H12" s="205">
        <v>0</v>
      </c>
      <c r="I12" s="206"/>
    </row>
    <row r="13" spans="1:10" x14ac:dyDescent="0.2">
      <c r="A13" s="202" t="s">
        <v>352</v>
      </c>
      <c r="B13" s="202" t="s">
        <v>26</v>
      </c>
      <c r="C13" s="202" t="s">
        <v>364</v>
      </c>
      <c r="D13" s="202" t="s">
        <v>26</v>
      </c>
      <c r="E13" s="205">
        <v>73508.63</v>
      </c>
      <c r="F13" s="205">
        <v>17</v>
      </c>
      <c r="G13" s="205">
        <v>5</v>
      </c>
      <c r="H13" s="205">
        <v>5</v>
      </c>
      <c r="I13" s="206"/>
    </row>
    <row r="14" spans="1:10" x14ac:dyDescent="0.2">
      <c r="A14" s="202" t="s">
        <v>352</v>
      </c>
      <c r="B14" s="202" t="s">
        <v>26</v>
      </c>
      <c r="C14" s="202" t="s">
        <v>364</v>
      </c>
      <c r="D14" s="202" t="s">
        <v>38</v>
      </c>
      <c r="E14" s="205">
        <v>0</v>
      </c>
      <c r="F14" s="205">
        <v>0</v>
      </c>
      <c r="G14" s="205">
        <v>0</v>
      </c>
      <c r="H14" s="205">
        <v>0</v>
      </c>
      <c r="I14" s="206"/>
    </row>
    <row r="15" spans="1:10" x14ac:dyDescent="0.2">
      <c r="A15" s="202" t="s">
        <v>352</v>
      </c>
      <c r="B15" s="202" t="s">
        <v>26</v>
      </c>
      <c r="C15" s="202" t="s">
        <v>364</v>
      </c>
      <c r="D15" s="202" t="s">
        <v>39</v>
      </c>
      <c r="E15" s="393">
        <v>351000</v>
      </c>
      <c r="F15" s="393">
        <v>40</v>
      </c>
      <c r="G15" s="393">
        <v>35</v>
      </c>
      <c r="H15" s="393">
        <v>34</v>
      </c>
      <c r="I15" s="213"/>
      <c r="J15" s="417">
        <v>7</v>
      </c>
    </row>
    <row r="16" spans="1:10" x14ac:dyDescent="0.2">
      <c r="A16" s="202" t="s">
        <v>352</v>
      </c>
      <c r="B16" s="202" t="s">
        <v>26</v>
      </c>
      <c r="C16" s="202" t="s">
        <v>364</v>
      </c>
      <c r="D16" s="202" t="s">
        <v>40</v>
      </c>
      <c r="E16" s="205">
        <v>0</v>
      </c>
      <c r="F16" s="205">
        <v>0</v>
      </c>
      <c r="G16" s="205">
        <v>0</v>
      </c>
      <c r="H16" s="205">
        <v>0</v>
      </c>
      <c r="I16" s="206"/>
    </row>
    <row r="17" spans="1:12" x14ac:dyDescent="0.2">
      <c r="A17" s="202" t="s">
        <v>352</v>
      </c>
      <c r="B17" s="202" t="s">
        <v>26</v>
      </c>
      <c r="C17" s="202" t="s">
        <v>364</v>
      </c>
      <c r="D17" s="202" t="s">
        <v>41</v>
      </c>
      <c r="E17" s="205">
        <v>0</v>
      </c>
      <c r="F17" s="205">
        <v>0</v>
      </c>
      <c r="G17" s="205">
        <v>0</v>
      </c>
      <c r="H17" s="205">
        <v>0</v>
      </c>
      <c r="I17" s="206"/>
    </row>
    <row r="18" spans="1:12" x14ac:dyDescent="0.2">
      <c r="A18" s="202" t="s">
        <v>352</v>
      </c>
      <c r="B18" s="202" t="s">
        <v>26</v>
      </c>
      <c r="C18" s="202" t="s">
        <v>364</v>
      </c>
      <c r="D18" s="202" t="s">
        <v>42</v>
      </c>
      <c r="E18" s="205">
        <v>0</v>
      </c>
      <c r="F18" s="205">
        <v>0</v>
      </c>
      <c r="G18" s="205">
        <v>0</v>
      </c>
      <c r="H18" s="205">
        <v>0</v>
      </c>
      <c r="I18" s="206"/>
    </row>
    <row r="19" spans="1:12" x14ac:dyDescent="0.2">
      <c r="A19" s="202" t="s">
        <v>352</v>
      </c>
      <c r="B19" s="202" t="s">
        <v>26</v>
      </c>
      <c r="C19" s="202" t="s">
        <v>364</v>
      </c>
      <c r="D19" s="202" t="s">
        <v>43</v>
      </c>
      <c r="E19" s="205">
        <v>0</v>
      </c>
      <c r="F19" s="205">
        <v>0</v>
      </c>
      <c r="G19" s="205">
        <v>0</v>
      </c>
      <c r="H19" s="205">
        <v>0</v>
      </c>
      <c r="I19" s="206"/>
    </row>
    <row r="20" spans="1:12" x14ac:dyDescent="0.2">
      <c r="A20" s="202" t="s">
        <v>352</v>
      </c>
      <c r="B20" s="202" t="s">
        <v>26</v>
      </c>
      <c r="C20" s="202" t="s">
        <v>364</v>
      </c>
      <c r="D20" s="202" t="s">
        <v>44</v>
      </c>
      <c r="E20" s="393">
        <v>3119601</v>
      </c>
      <c r="F20" s="393">
        <v>127</v>
      </c>
      <c r="G20" s="393">
        <v>116</v>
      </c>
      <c r="H20" s="393">
        <v>111</v>
      </c>
      <c r="I20" s="417">
        <v>19</v>
      </c>
      <c r="J20" s="417">
        <v>5</v>
      </c>
    </row>
    <row r="21" spans="1:12" x14ac:dyDescent="0.2">
      <c r="A21" s="202" t="s">
        <v>352</v>
      </c>
      <c r="B21" s="202" t="s">
        <v>26</v>
      </c>
      <c r="C21" s="202" t="s">
        <v>364</v>
      </c>
      <c r="D21" s="202" t="s">
        <v>45</v>
      </c>
      <c r="E21" s="205">
        <v>0</v>
      </c>
      <c r="F21" s="205">
        <v>0</v>
      </c>
      <c r="G21" s="205">
        <v>0</v>
      </c>
      <c r="H21" s="205">
        <v>0</v>
      </c>
      <c r="I21" s="206"/>
    </row>
    <row r="22" spans="1:12" x14ac:dyDescent="0.2">
      <c r="A22" s="202" t="s">
        <v>352</v>
      </c>
      <c r="B22" s="202" t="s">
        <v>26</v>
      </c>
      <c r="C22" s="202" t="s">
        <v>364</v>
      </c>
      <c r="D22" s="202" t="s">
        <v>46</v>
      </c>
      <c r="E22" s="393">
        <v>3088161.88</v>
      </c>
      <c r="F22" s="393">
        <v>108</v>
      </c>
      <c r="G22" s="393">
        <v>35</v>
      </c>
      <c r="H22" s="393">
        <v>28</v>
      </c>
      <c r="I22" s="417" t="s">
        <v>46</v>
      </c>
      <c r="J22" s="417">
        <v>6</v>
      </c>
      <c r="L22" s="294"/>
    </row>
    <row r="23" spans="1:12" x14ac:dyDescent="0.2">
      <c r="A23" s="202" t="s">
        <v>352</v>
      </c>
      <c r="B23" s="202" t="s">
        <v>26</v>
      </c>
      <c r="C23" s="202" t="s">
        <v>364</v>
      </c>
      <c r="D23" s="202" t="s">
        <v>47</v>
      </c>
      <c r="E23" s="205">
        <v>0</v>
      </c>
      <c r="F23" s="205">
        <v>0</v>
      </c>
      <c r="G23" s="205">
        <v>0</v>
      </c>
      <c r="H23" s="205">
        <v>0</v>
      </c>
    </row>
    <row r="24" spans="1:12" x14ac:dyDescent="0.2">
      <c r="A24" s="202" t="s">
        <v>352</v>
      </c>
      <c r="B24" s="202" t="s">
        <v>26</v>
      </c>
      <c r="C24" s="202" t="s">
        <v>364</v>
      </c>
      <c r="D24" s="202" t="s">
        <v>48</v>
      </c>
      <c r="E24" s="205">
        <v>0</v>
      </c>
      <c r="F24" s="205">
        <v>0</v>
      </c>
      <c r="G24" s="205">
        <v>0</v>
      </c>
      <c r="H24" s="205">
        <v>0</v>
      </c>
    </row>
    <row r="25" spans="1:12" x14ac:dyDescent="0.2">
      <c r="A25" s="202" t="s">
        <v>352</v>
      </c>
      <c r="B25" s="202" t="s">
        <v>26</v>
      </c>
      <c r="C25" s="202" t="s">
        <v>364</v>
      </c>
      <c r="D25" s="202" t="s">
        <v>354</v>
      </c>
      <c r="E25" s="205">
        <v>0</v>
      </c>
      <c r="F25" s="205">
        <v>0</v>
      </c>
      <c r="G25" s="205">
        <v>0</v>
      </c>
      <c r="H25" s="205">
        <v>0</v>
      </c>
    </row>
    <row r="26" spans="1:12" x14ac:dyDescent="0.2">
      <c r="A26" s="202" t="s">
        <v>352</v>
      </c>
      <c r="B26" s="202" t="s">
        <v>26</v>
      </c>
      <c r="C26" s="202" t="s">
        <v>364</v>
      </c>
      <c r="D26" s="202" t="s">
        <v>355</v>
      </c>
      <c r="E26" s="205">
        <v>15000</v>
      </c>
      <c r="F26" s="205">
        <v>1</v>
      </c>
      <c r="G26" s="205">
        <v>1</v>
      </c>
      <c r="H26" s="205">
        <v>1</v>
      </c>
    </row>
    <row r="27" spans="1:12" x14ac:dyDescent="0.2">
      <c r="A27" s="202" t="s">
        <v>352</v>
      </c>
      <c r="B27" s="202" t="s">
        <v>26</v>
      </c>
      <c r="C27" s="202" t="s">
        <v>364</v>
      </c>
      <c r="D27" s="202" t="s">
        <v>356</v>
      </c>
      <c r="E27" s="205">
        <v>0</v>
      </c>
      <c r="F27" s="205">
        <v>0</v>
      </c>
      <c r="G27" s="205">
        <v>0</v>
      </c>
      <c r="H27" s="205">
        <v>0</v>
      </c>
    </row>
    <row r="28" spans="1:12" x14ac:dyDescent="0.2">
      <c r="A28" s="254" t="s">
        <v>352</v>
      </c>
      <c r="B28" s="254" t="s">
        <v>26</v>
      </c>
      <c r="C28" s="254" t="s">
        <v>364</v>
      </c>
      <c r="D28" s="254" t="s">
        <v>357</v>
      </c>
      <c r="E28" s="255">
        <v>30570403.039999999</v>
      </c>
      <c r="F28" s="255">
        <v>2994</v>
      </c>
      <c r="G28" s="255">
        <v>2020</v>
      </c>
      <c r="H28" s="255">
        <v>1714</v>
      </c>
    </row>
    <row r="29" spans="1:12" x14ac:dyDescent="0.2">
      <c r="A29" s="202" t="s">
        <v>352</v>
      </c>
      <c r="B29" s="202" t="s">
        <v>26</v>
      </c>
      <c r="C29" s="202" t="s">
        <v>364</v>
      </c>
      <c r="D29" s="202" t="s">
        <v>49</v>
      </c>
      <c r="E29" s="205">
        <v>5000</v>
      </c>
      <c r="F29" s="205">
        <v>0</v>
      </c>
      <c r="G29" s="205">
        <v>0</v>
      </c>
      <c r="H29" s="205">
        <v>0</v>
      </c>
    </row>
    <row r="30" spans="1:12" x14ac:dyDescent="0.2">
      <c r="A30" s="202" t="s">
        <v>352</v>
      </c>
      <c r="B30" s="202" t="s">
        <v>26</v>
      </c>
      <c r="C30" s="202" t="s">
        <v>364</v>
      </c>
      <c r="D30" s="202" t="s">
        <v>50</v>
      </c>
      <c r="E30" s="205">
        <v>20</v>
      </c>
      <c r="F30" s="205">
        <v>0</v>
      </c>
      <c r="G30" s="205">
        <v>0</v>
      </c>
      <c r="H30" s="205">
        <v>0</v>
      </c>
    </row>
    <row r="31" spans="1:12" x14ac:dyDescent="0.2">
      <c r="D31" s="209" t="s">
        <v>93</v>
      </c>
      <c r="E31" s="210">
        <f>SUM(E3:E6,E20,E22)</f>
        <v>14814545.689999998</v>
      </c>
      <c r="F31" s="210">
        <f>SUM(F3:F6,F20,F22)</f>
        <v>1409</v>
      </c>
      <c r="G31" s="210">
        <f>SUM(G3:G6,G20,G22)</f>
        <v>941</v>
      </c>
      <c r="H31" s="210">
        <f>SUM(H3:H6,H20,H22)</f>
        <v>817</v>
      </c>
      <c r="I31" s="212"/>
      <c r="K31" s="393">
        <f>SUM(H31)/G31*100</f>
        <v>86.822529224229541</v>
      </c>
    </row>
    <row r="32" spans="1:12" x14ac:dyDescent="0.2">
      <c r="D32" s="418" t="s">
        <v>105</v>
      </c>
      <c r="E32" s="419">
        <f>E3+E4+E5+E6+E20+E22</f>
        <v>14814545.689999998</v>
      </c>
      <c r="I32" s="212"/>
    </row>
    <row r="33" spans="4:11" x14ac:dyDescent="0.2">
      <c r="D33" s="204"/>
      <c r="E33" s="205">
        <f>SUM(E3:E20,E22,E24:E27)</f>
        <v>15285201.52</v>
      </c>
      <c r="I33" s="212"/>
    </row>
    <row r="34" spans="4:11" x14ac:dyDescent="0.2">
      <c r="D34" s="209" t="s">
        <v>295</v>
      </c>
      <c r="E34" s="210">
        <f>SUM(E3:E6,E15,E20,E22)</f>
        <v>15165545.689999998</v>
      </c>
      <c r="F34" s="210">
        <f>SUM(F3:F6,F15,F20,F22)</f>
        <v>1449</v>
      </c>
      <c r="G34" s="210">
        <f>SUM(G3:G6,G15,G20,G22)</f>
        <v>976</v>
      </c>
      <c r="H34" s="210">
        <f>SUM(H3:H6,H15,H20,H22)</f>
        <v>851</v>
      </c>
      <c r="I34" s="212"/>
      <c r="K34" s="393">
        <f>SUM(H34)/G34*100</f>
        <v>87.192622950819683</v>
      </c>
    </row>
    <row r="35" spans="4:11" x14ac:dyDescent="0.2">
      <c r="D35" s="418" t="s">
        <v>105</v>
      </c>
      <c r="E35" s="419">
        <f>E3+E4+E5+E6+E15+E20+E22</f>
        <v>15165545.689999998</v>
      </c>
      <c r="F35" s="202"/>
      <c r="G35" s="202"/>
      <c r="H35" s="202"/>
    </row>
    <row r="36" spans="4:11" x14ac:dyDescent="0.2">
      <c r="D36" s="204"/>
      <c r="E36" s="205">
        <f>SUM(E3:E20,E22,E24:E27)</f>
        <v>15285201.52</v>
      </c>
      <c r="F36" s="202"/>
      <c r="G36" s="202"/>
      <c r="H36" s="202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Arkusz34">
    <tabColor theme="9" tint="0.59999389629810485"/>
  </sheetPr>
  <dimension ref="A1:K36"/>
  <sheetViews>
    <sheetView zoomScale="80" zoomScaleNormal="80" workbookViewId="0"/>
  </sheetViews>
  <sheetFormatPr defaultRowHeight="14.25" x14ac:dyDescent="0.2"/>
  <cols>
    <col min="1" max="3" width="9.140625" style="204"/>
    <col min="4" max="4" width="9.140625" style="202"/>
    <col min="5" max="5" width="12.7109375" style="204" customWidth="1"/>
    <col min="6" max="6" width="11.85546875" style="204" customWidth="1"/>
    <col min="7" max="7" width="11.7109375" style="204" customWidth="1"/>
    <col min="8" max="8" width="11.140625" style="204" customWidth="1"/>
    <col min="9" max="10" width="5.85546875" style="204" customWidth="1"/>
    <col min="11" max="11" width="9.140625" style="204"/>
    <col min="12" max="13" width="10.85546875" style="204" bestFit="1" customWidth="1"/>
    <col min="14" max="16384" width="9.140625" style="204"/>
  </cols>
  <sheetData>
    <row r="1" spans="1:10" s="394" customFormat="1" x14ac:dyDescent="0.2">
      <c r="A1" s="392" t="s">
        <v>22</v>
      </c>
      <c r="B1" s="392" t="s">
        <v>23</v>
      </c>
      <c r="C1" s="392" t="s">
        <v>24</v>
      </c>
      <c r="D1" s="392" t="s">
        <v>25</v>
      </c>
      <c r="E1" s="393" t="s">
        <v>95</v>
      </c>
      <c r="F1" s="393" t="s">
        <v>53</v>
      </c>
      <c r="G1" s="393" t="s">
        <v>54</v>
      </c>
      <c r="H1" s="393" t="s">
        <v>94</v>
      </c>
    </row>
    <row r="2" spans="1:10" x14ac:dyDescent="0.2">
      <c r="A2" s="202" t="s">
        <v>352</v>
      </c>
      <c r="B2" s="202" t="s">
        <v>26</v>
      </c>
      <c r="C2" s="202" t="s">
        <v>365</v>
      </c>
      <c r="D2" s="202" t="s">
        <v>27</v>
      </c>
      <c r="E2" s="205">
        <v>8422495.2300000004</v>
      </c>
      <c r="F2" s="205">
        <v>937</v>
      </c>
      <c r="G2" s="205">
        <v>735</v>
      </c>
      <c r="H2" s="205">
        <v>625</v>
      </c>
    </row>
    <row r="3" spans="1:10" x14ac:dyDescent="0.2">
      <c r="A3" s="202" t="s">
        <v>352</v>
      </c>
      <c r="B3" s="202" t="s">
        <v>26</v>
      </c>
      <c r="C3" s="202" t="s">
        <v>365</v>
      </c>
      <c r="D3" s="202" t="s">
        <v>28</v>
      </c>
      <c r="E3" s="393">
        <v>3505714.46</v>
      </c>
      <c r="F3" s="393">
        <v>414</v>
      </c>
      <c r="G3" s="393">
        <v>316</v>
      </c>
      <c r="H3" s="393">
        <v>272</v>
      </c>
      <c r="I3" s="417" t="s">
        <v>28</v>
      </c>
      <c r="J3" s="417">
        <v>1</v>
      </c>
    </row>
    <row r="4" spans="1:10" x14ac:dyDescent="0.2">
      <c r="A4" s="202" t="s">
        <v>352</v>
      </c>
      <c r="B4" s="202" t="s">
        <v>26</v>
      </c>
      <c r="C4" s="202" t="s">
        <v>365</v>
      </c>
      <c r="D4" s="202" t="s">
        <v>29</v>
      </c>
      <c r="E4" s="393">
        <v>43895.96</v>
      </c>
      <c r="F4" s="393">
        <v>8</v>
      </c>
      <c r="G4" s="393">
        <v>8</v>
      </c>
      <c r="H4" s="393">
        <v>4</v>
      </c>
      <c r="I4" s="417" t="s">
        <v>29</v>
      </c>
      <c r="J4" s="417">
        <v>2</v>
      </c>
    </row>
    <row r="5" spans="1:10" x14ac:dyDescent="0.2">
      <c r="A5" s="202" t="s">
        <v>352</v>
      </c>
      <c r="B5" s="202" t="s">
        <v>26</v>
      </c>
      <c r="C5" s="202" t="s">
        <v>365</v>
      </c>
      <c r="D5" s="202" t="s">
        <v>30</v>
      </c>
      <c r="E5" s="393">
        <v>1452213.2</v>
      </c>
      <c r="F5" s="393">
        <v>235</v>
      </c>
      <c r="G5" s="393">
        <v>158</v>
      </c>
      <c r="H5" s="393">
        <v>155</v>
      </c>
      <c r="I5" s="417" t="s">
        <v>30</v>
      </c>
      <c r="J5" s="417">
        <v>3</v>
      </c>
    </row>
    <row r="6" spans="1:10" x14ac:dyDescent="0.2">
      <c r="A6" s="202" t="s">
        <v>352</v>
      </c>
      <c r="B6" s="202" t="s">
        <v>26</v>
      </c>
      <c r="C6" s="202" t="s">
        <v>365</v>
      </c>
      <c r="D6" s="202" t="s">
        <v>31</v>
      </c>
      <c r="E6" s="393">
        <v>441350.09</v>
      </c>
      <c r="F6" s="393">
        <v>27</v>
      </c>
      <c r="G6" s="393">
        <v>27</v>
      </c>
      <c r="H6" s="393">
        <v>27</v>
      </c>
      <c r="I6" s="417" t="s">
        <v>31</v>
      </c>
      <c r="J6" s="417">
        <v>4</v>
      </c>
    </row>
    <row r="7" spans="1:10" x14ac:dyDescent="0.2">
      <c r="A7" s="202" t="s">
        <v>352</v>
      </c>
      <c r="B7" s="202" t="s">
        <v>26</v>
      </c>
      <c r="C7" s="202" t="s">
        <v>365</v>
      </c>
      <c r="D7" s="202" t="s">
        <v>32</v>
      </c>
      <c r="E7" s="205">
        <v>69044</v>
      </c>
      <c r="F7" s="205">
        <v>53</v>
      </c>
      <c r="G7" s="205">
        <v>44</v>
      </c>
      <c r="H7" s="205">
        <v>6</v>
      </c>
      <c r="I7" s="206"/>
    </row>
    <row r="8" spans="1:10" x14ac:dyDescent="0.2">
      <c r="A8" s="202" t="s">
        <v>352</v>
      </c>
      <c r="B8" s="202" t="s">
        <v>26</v>
      </c>
      <c r="C8" s="202" t="s">
        <v>365</v>
      </c>
      <c r="D8" s="202" t="s">
        <v>33</v>
      </c>
      <c r="E8" s="205">
        <v>0</v>
      </c>
      <c r="F8" s="205">
        <v>0</v>
      </c>
      <c r="G8" s="205">
        <v>0</v>
      </c>
      <c r="H8" s="205">
        <v>0</v>
      </c>
      <c r="I8" s="206"/>
    </row>
    <row r="9" spans="1:10" x14ac:dyDescent="0.2">
      <c r="A9" s="202" t="s">
        <v>352</v>
      </c>
      <c r="B9" s="202" t="s">
        <v>26</v>
      </c>
      <c r="C9" s="202" t="s">
        <v>365</v>
      </c>
      <c r="D9" s="202" t="s">
        <v>34</v>
      </c>
      <c r="E9" s="205">
        <v>0</v>
      </c>
      <c r="F9" s="205">
        <v>0</v>
      </c>
      <c r="G9" s="205">
        <v>0</v>
      </c>
      <c r="H9" s="205">
        <v>0</v>
      </c>
      <c r="I9" s="206"/>
    </row>
    <row r="10" spans="1:10" x14ac:dyDescent="0.2">
      <c r="A10" s="202" t="s">
        <v>352</v>
      </c>
      <c r="B10" s="202" t="s">
        <v>26</v>
      </c>
      <c r="C10" s="202" t="s">
        <v>365</v>
      </c>
      <c r="D10" s="202" t="s">
        <v>35</v>
      </c>
      <c r="E10" s="205">
        <v>0</v>
      </c>
      <c r="F10" s="205">
        <v>0</v>
      </c>
      <c r="G10" s="205">
        <v>0</v>
      </c>
      <c r="H10" s="205">
        <v>0</v>
      </c>
      <c r="I10" s="206"/>
    </row>
    <row r="11" spans="1:10" x14ac:dyDescent="0.2">
      <c r="A11" s="202" t="s">
        <v>352</v>
      </c>
      <c r="B11" s="202" t="s">
        <v>26</v>
      </c>
      <c r="C11" s="202" t="s">
        <v>365</v>
      </c>
      <c r="D11" s="202" t="s">
        <v>36</v>
      </c>
      <c r="E11" s="205">
        <v>0</v>
      </c>
      <c r="F11" s="205">
        <v>0</v>
      </c>
      <c r="G11" s="205">
        <v>0</v>
      </c>
      <c r="H11" s="205">
        <v>0</v>
      </c>
      <c r="I11" s="206"/>
    </row>
    <row r="12" spans="1:10" x14ac:dyDescent="0.2">
      <c r="A12" s="202" t="s">
        <v>352</v>
      </c>
      <c r="B12" s="202" t="s">
        <v>26</v>
      </c>
      <c r="C12" s="202" t="s">
        <v>365</v>
      </c>
      <c r="D12" s="202" t="s">
        <v>37</v>
      </c>
      <c r="E12" s="205">
        <v>0</v>
      </c>
      <c r="F12" s="205">
        <v>0</v>
      </c>
      <c r="G12" s="205">
        <v>0</v>
      </c>
      <c r="H12" s="205">
        <v>0</v>
      </c>
      <c r="I12" s="206"/>
    </row>
    <row r="13" spans="1:10" x14ac:dyDescent="0.2">
      <c r="A13" s="202" t="s">
        <v>352</v>
      </c>
      <c r="B13" s="202" t="s">
        <v>26</v>
      </c>
      <c r="C13" s="202" t="s">
        <v>365</v>
      </c>
      <c r="D13" s="202" t="s">
        <v>26</v>
      </c>
      <c r="E13" s="205">
        <v>0</v>
      </c>
      <c r="F13" s="205">
        <v>0</v>
      </c>
      <c r="G13" s="205">
        <v>0</v>
      </c>
      <c r="H13" s="205">
        <v>0</v>
      </c>
      <c r="I13" s="206"/>
    </row>
    <row r="14" spans="1:10" x14ac:dyDescent="0.2">
      <c r="A14" s="202" t="s">
        <v>352</v>
      </c>
      <c r="B14" s="202" t="s">
        <v>26</v>
      </c>
      <c r="C14" s="202" t="s">
        <v>365</v>
      </c>
      <c r="D14" s="202" t="s">
        <v>38</v>
      </c>
      <c r="E14" s="205">
        <v>0</v>
      </c>
      <c r="F14" s="205">
        <v>0</v>
      </c>
      <c r="G14" s="205">
        <v>0</v>
      </c>
      <c r="H14" s="205">
        <v>0</v>
      </c>
      <c r="I14" s="206"/>
    </row>
    <row r="15" spans="1:10" x14ac:dyDescent="0.2">
      <c r="A15" s="202" t="s">
        <v>352</v>
      </c>
      <c r="B15" s="202" t="s">
        <v>26</v>
      </c>
      <c r="C15" s="202" t="s">
        <v>365</v>
      </c>
      <c r="D15" s="202" t="s">
        <v>39</v>
      </c>
      <c r="E15" s="393">
        <v>838488.89</v>
      </c>
      <c r="F15" s="393">
        <v>105</v>
      </c>
      <c r="G15" s="393">
        <v>96</v>
      </c>
      <c r="H15" s="393">
        <v>86</v>
      </c>
      <c r="I15" s="213"/>
      <c r="J15" s="417">
        <v>7</v>
      </c>
    </row>
    <row r="16" spans="1:10" x14ac:dyDescent="0.2">
      <c r="A16" s="202" t="s">
        <v>352</v>
      </c>
      <c r="B16" s="202" t="s">
        <v>26</v>
      </c>
      <c r="C16" s="202" t="s">
        <v>365</v>
      </c>
      <c r="D16" s="202" t="s">
        <v>40</v>
      </c>
      <c r="E16" s="205">
        <v>238476.92</v>
      </c>
      <c r="F16" s="205">
        <v>30</v>
      </c>
      <c r="G16" s="205">
        <v>17</v>
      </c>
      <c r="H16" s="205">
        <v>17</v>
      </c>
      <c r="I16" s="206"/>
    </row>
    <row r="17" spans="1:11" x14ac:dyDescent="0.2">
      <c r="A17" s="202" t="s">
        <v>352</v>
      </c>
      <c r="B17" s="202" t="s">
        <v>26</v>
      </c>
      <c r="C17" s="202" t="s">
        <v>365</v>
      </c>
      <c r="D17" s="202" t="s">
        <v>41</v>
      </c>
      <c r="E17" s="205">
        <v>0</v>
      </c>
      <c r="F17" s="205">
        <v>0</v>
      </c>
      <c r="G17" s="205">
        <v>0</v>
      </c>
      <c r="H17" s="205">
        <v>0</v>
      </c>
      <c r="I17" s="206"/>
    </row>
    <row r="18" spans="1:11" x14ac:dyDescent="0.2">
      <c r="A18" s="202" t="s">
        <v>352</v>
      </c>
      <c r="B18" s="202" t="s">
        <v>26</v>
      </c>
      <c r="C18" s="202" t="s">
        <v>365</v>
      </c>
      <c r="D18" s="202" t="s">
        <v>42</v>
      </c>
      <c r="E18" s="205">
        <v>0</v>
      </c>
      <c r="F18" s="205">
        <v>0</v>
      </c>
      <c r="G18" s="205">
        <v>0</v>
      </c>
      <c r="H18" s="205">
        <v>0</v>
      </c>
      <c r="I18" s="206"/>
    </row>
    <row r="19" spans="1:11" x14ac:dyDescent="0.2">
      <c r="A19" s="202" t="s">
        <v>352</v>
      </c>
      <c r="B19" s="202" t="s">
        <v>26</v>
      </c>
      <c r="C19" s="202" t="s">
        <v>365</v>
      </c>
      <c r="D19" s="202" t="s">
        <v>43</v>
      </c>
      <c r="E19" s="205">
        <v>0</v>
      </c>
      <c r="F19" s="205">
        <v>0</v>
      </c>
      <c r="G19" s="205">
        <v>0</v>
      </c>
      <c r="H19" s="205">
        <v>0</v>
      </c>
      <c r="I19" s="206"/>
    </row>
    <row r="20" spans="1:11" x14ac:dyDescent="0.2">
      <c r="A20" s="202" t="s">
        <v>352</v>
      </c>
      <c r="B20" s="202" t="s">
        <v>26</v>
      </c>
      <c r="C20" s="202" t="s">
        <v>365</v>
      </c>
      <c r="D20" s="202" t="s">
        <v>44</v>
      </c>
      <c r="E20" s="393">
        <v>1623311.71</v>
      </c>
      <c r="F20" s="393">
        <v>58</v>
      </c>
      <c r="G20" s="393">
        <v>69</v>
      </c>
      <c r="H20" s="393">
        <v>58</v>
      </c>
      <c r="I20" s="417">
        <v>19</v>
      </c>
      <c r="J20" s="417">
        <v>5</v>
      </c>
    </row>
    <row r="21" spans="1:11" x14ac:dyDescent="0.2">
      <c r="A21" s="202" t="s">
        <v>352</v>
      </c>
      <c r="B21" s="202" t="s">
        <v>26</v>
      </c>
      <c r="C21" s="202" t="s">
        <v>365</v>
      </c>
      <c r="D21" s="202" t="s">
        <v>45</v>
      </c>
      <c r="E21" s="205">
        <v>0</v>
      </c>
      <c r="F21" s="205">
        <v>0</v>
      </c>
      <c r="G21" s="205">
        <v>0</v>
      </c>
      <c r="H21" s="205">
        <v>0</v>
      </c>
      <c r="I21" s="206"/>
    </row>
    <row r="22" spans="1:11" x14ac:dyDescent="0.2">
      <c r="A22" s="202" t="s">
        <v>352</v>
      </c>
      <c r="B22" s="202" t="s">
        <v>26</v>
      </c>
      <c r="C22" s="202" t="s">
        <v>365</v>
      </c>
      <c r="D22" s="202" t="s">
        <v>46</v>
      </c>
      <c r="E22" s="393">
        <v>210000</v>
      </c>
      <c r="F22" s="393">
        <v>7</v>
      </c>
      <c r="G22" s="393">
        <v>0</v>
      </c>
      <c r="H22" s="393">
        <v>0</v>
      </c>
      <c r="I22" s="417" t="s">
        <v>46</v>
      </c>
      <c r="J22" s="417">
        <v>6</v>
      </c>
    </row>
    <row r="23" spans="1:11" x14ac:dyDescent="0.2">
      <c r="A23" s="202" t="s">
        <v>352</v>
      </c>
      <c r="B23" s="202" t="s">
        <v>26</v>
      </c>
      <c r="C23" s="202" t="s">
        <v>365</v>
      </c>
      <c r="D23" s="202" t="s">
        <v>47</v>
      </c>
      <c r="E23" s="205">
        <v>0</v>
      </c>
      <c r="F23" s="205">
        <v>0</v>
      </c>
      <c r="G23" s="205">
        <v>0</v>
      </c>
      <c r="H23" s="205">
        <v>0</v>
      </c>
    </row>
    <row r="24" spans="1:11" x14ac:dyDescent="0.2">
      <c r="A24" s="202" t="s">
        <v>352</v>
      </c>
      <c r="B24" s="202" t="s">
        <v>26</v>
      </c>
      <c r="C24" s="202" t="s">
        <v>365</v>
      </c>
      <c r="D24" s="202" t="s">
        <v>48</v>
      </c>
      <c r="E24" s="205">
        <v>0</v>
      </c>
      <c r="F24" s="205">
        <v>0</v>
      </c>
      <c r="G24" s="205">
        <v>0</v>
      </c>
      <c r="H24" s="205">
        <v>0</v>
      </c>
    </row>
    <row r="25" spans="1:11" x14ac:dyDescent="0.2">
      <c r="A25" s="202" t="s">
        <v>352</v>
      </c>
      <c r="B25" s="202" t="s">
        <v>26</v>
      </c>
      <c r="C25" s="202" t="s">
        <v>365</v>
      </c>
      <c r="D25" s="202" t="s">
        <v>354</v>
      </c>
      <c r="E25" s="205">
        <v>0</v>
      </c>
      <c r="F25" s="205">
        <v>0</v>
      </c>
      <c r="G25" s="205">
        <v>0</v>
      </c>
      <c r="H25" s="205">
        <v>0</v>
      </c>
    </row>
    <row r="26" spans="1:11" x14ac:dyDescent="0.2">
      <c r="A26" s="202" t="s">
        <v>352</v>
      </c>
      <c r="B26" s="202" t="s">
        <v>26</v>
      </c>
      <c r="C26" s="202" t="s">
        <v>365</v>
      </c>
      <c r="D26" s="202" t="s">
        <v>355</v>
      </c>
      <c r="E26" s="205">
        <v>0</v>
      </c>
      <c r="F26" s="205">
        <v>0</v>
      </c>
      <c r="G26" s="205">
        <v>0</v>
      </c>
      <c r="H26" s="205">
        <v>0</v>
      </c>
    </row>
    <row r="27" spans="1:11" x14ac:dyDescent="0.2">
      <c r="A27" s="202" t="s">
        <v>352</v>
      </c>
      <c r="B27" s="202" t="s">
        <v>26</v>
      </c>
      <c r="C27" s="202" t="s">
        <v>365</v>
      </c>
      <c r="D27" s="202" t="s">
        <v>356</v>
      </c>
      <c r="E27" s="205">
        <v>0</v>
      </c>
      <c r="F27" s="205">
        <v>0</v>
      </c>
      <c r="G27" s="205">
        <v>0</v>
      </c>
      <c r="H27" s="205">
        <v>0</v>
      </c>
    </row>
    <row r="28" spans="1:11" x14ac:dyDescent="0.2">
      <c r="A28" s="254" t="s">
        <v>352</v>
      </c>
      <c r="B28" s="254" t="s">
        <v>26</v>
      </c>
      <c r="C28" s="254" t="s">
        <v>365</v>
      </c>
      <c r="D28" s="254" t="s">
        <v>357</v>
      </c>
      <c r="E28" s="255">
        <v>16844990.460000001</v>
      </c>
      <c r="F28" s="255">
        <v>1874</v>
      </c>
      <c r="G28" s="255">
        <v>1470</v>
      </c>
      <c r="H28" s="255">
        <v>1250</v>
      </c>
    </row>
    <row r="29" spans="1:11" x14ac:dyDescent="0.2">
      <c r="A29" s="202" t="s">
        <v>352</v>
      </c>
      <c r="B29" s="202" t="s">
        <v>26</v>
      </c>
      <c r="C29" s="202" t="s">
        <v>365</v>
      </c>
      <c r="D29" s="202" t="s">
        <v>49</v>
      </c>
      <c r="E29" s="205">
        <v>1200</v>
      </c>
      <c r="F29" s="205">
        <v>0</v>
      </c>
      <c r="G29" s="205">
        <v>0</v>
      </c>
      <c r="H29" s="205">
        <v>0</v>
      </c>
    </row>
    <row r="30" spans="1:11" x14ac:dyDescent="0.2">
      <c r="A30" s="202" t="s">
        <v>352</v>
      </c>
      <c r="B30" s="202" t="s">
        <v>26</v>
      </c>
      <c r="C30" s="202" t="s">
        <v>365</v>
      </c>
      <c r="D30" s="202" t="s">
        <v>50</v>
      </c>
      <c r="E30" s="205">
        <v>60</v>
      </c>
      <c r="F30" s="205">
        <v>0</v>
      </c>
      <c r="G30" s="205">
        <v>0</v>
      </c>
      <c r="H30" s="205">
        <v>0</v>
      </c>
    </row>
    <row r="31" spans="1:11" x14ac:dyDescent="0.2">
      <c r="D31" s="209" t="s">
        <v>93</v>
      </c>
      <c r="E31" s="210">
        <f>SUM(E3:E6,E20,E22)</f>
        <v>7276485.4199999999</v>
      </c>
      <c r="F31" s="210">
        <f>SUM(F3:F6,F20,F22)</f>
        <v>749</v>
      </c>
      <c r="G31" s="210">
        <f>SUM(G3:G6,G20,G22)</f>
        <v>578</v>
      </c>
      <c r="H31" s="210">
        <f>SUM(H3:H6,H20,H22)</f>
        <v>516</v>
      </c>
      <c r="I31" s="212"/>
      <c r="K31" s="393">
        <f>SUM(H31)/G31*100</f>
        <v>89.273356401384092</v>
      </c>
    </row>
    <row r="32" spans="1:11" x14ac:dyDescent="0.2">
      <c r="D32" s="418" t="s">
        <v>105</v>
      </c>
      <c r="E32" s="419">
        <f>E3+E4+E5+E6+E20+E22</f>
        <v>7276485.4199999999</v>
      </c>
      <c r="I32" s="212"/>
    </row>
    <row r="33" spans="4:11" x14ac:dyDescent="0.2">
      <c r="D33" s="204"/>
      <c r="E33" s="205">
        <f>SUM(E3:E20,E22,E24:E27)</f>
        <v>8422495.2300000004</v>
      </c>
      <c r="I33" s="212"/>
    </row>
    <row r="34" spans="4:11" x14ac:dyDescent="0.2">
      <c r="D34" s="209" t="s">
        <v>295</v>
      </c>
      <c r="E34" s="210">
        <f>SUM(E3:E6,E15,E20,E22)</f>
        <v>8114974.3099999996</v>
      </c>
      <c r="F34" s="210">
        <f>SUM(F3:F6,F15,F20,F22)</f>
        <v>854</v>
      </c>
      <c r="G34" s="210">
        <f>SUM(G3:G6,G15,G20,G22)</f>
        <v>674</v>
      </c>
      <c r="H34" s="210">
        <f>SUM(H3:H6,H15,H20,H22)</f>
        <v>602</v>
      </c>
      <c r="I34" s="212"/>
      <c r="K34" s="393">
        <f>SUM(H34)/G34*100</f>
        <v>89.317507418397625</v>
      </c>
    </row>
    <row r="35" spans="4:11" x14ac:dyDescent="0.2">
      <c r="D35" s="418" t="s">
        <v>105</v>
      </c>
      <c r="E35" s="419">
        <f>E3+E4+E5+E6+E15+E20+E22</f>
        <v>8114974.3099999996</v>
      </c>
      <c r="F35" s="202"/>
      <c r="G35" s="202"/>
      <c r="H35" s="202"/>
    </row>
    <row r="36" spans="4:11" x14ac:dyDescent="0.2">
      <c r="D36" s="204"/>
      <c r="E36" s="205">
        <f>SUM(E3:E20,E22,E24:E27)</f>
        <v>8422495.2300000004</v>
      </c>
      <c r="F36" s="202"/>
      <c r="G36" s="202"/>
      <c r="H36" s="202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Arkusz35">
    <tabColor theme="9" tint="0.59999389629810485"/>
  </sheetPr>
  <dimension ref="A1:K36"/>
  <sheetViews>
    <sheetView zoomScale="80" zoomScaleNormal="80" workbookViewId="0"/>
  </sheetViews>
  <sheetFormatPr defaultRowHeight="14.25" x14ac:dyDescent="0.2"/>
  <cols>
    <col min="1" max="3" width="9.140625" style="204"/>
    <col min="4" max="4" width="9.140625" style="202"/>
    <col min="5" max="5" width="13.42578125" style="204" customWidth="1"/>
    <col min="6" max="6" width="11.85546875" style="204" customWidth="1"/>
    <col min="7" max="7" width="11.7109375" style="204" customWidth="1"/>
    <col min="8" max="8" width="11.140625" style="204" customWidth="1"/>
    <col min="9" max="10" width="5.85546875" style="204" customWidth="1"/>
    <col min="11" max="16384" width="9.140625" style="204"/>
  </cols>
  <sheetData>
    <row r="1" spans="1:10" s="394" customFormat="1" x14ac:dyDescent="0.2">
      <c r="A1" s="392" t="s">
        <v>22</v>
      </c>
      <c r="B1" s="392" t="s">
        <v>23</v>
      </c>
      <c r="C1" s="392" t="s">
        <v>24</v>
      </c>
      <c r="D1" s="392" t="s">
        <v>25</v>
      </c>
      <c r="E1" s="393" t="s">
        <v>95</v>
      </c>
      <c r="F1" s="393" t="s">
        <v>53</v>
      </c>
      <c r="G1" s="393" t="s">
        <v>54</v>
      </c>
      <c r="H1" s="393" t="s">
        <v>94</v>
      </c>
    </row>
    <row r="2" spans="1:10" x14ac:dyDescent="0.2">
      <c r="A2" s="202" t="s">
        <v>352</v>
      </c>
      <c r="B2" s="202" t="s">
        <v>26</v>
      </c>
      <c r="C2" s="202" t="s">
        <v>366</v>
      </c>
      <c r="D2" s="202" t="s">
        <v>27</v>
      </c>
      <c r="E2" s="205">
        <v>14653129.130000001</v>
      </c>
      <c r="F2" s="205">
        <v>1286</v>
      </c>
      <c r="G2" s="205">
        <v>966</v>
      </c>
      <c r="H2" s="205">
        <v>815</v>
      </c>
    </row>
    <row r="3" spans="1:10" x14ac:dyDescent="0.2">
      <c r="A3" s="202" t="s">
        <v>352</v>
      </c>
      <c r="B3" s="202" t="s">
        <v>26</v>
      </c>
      <c r="C3" s="202" t="s">
        <v>366</v>
      </c>
      <c r="D3" s="202" t="s">
        <v>28</v>
      </c>
      <c r="E3" s="393">
        <v>4178777.09</v>
      </c>
      <c r="F3" s="393">
        <v>498</v>
      </c>
      <c r="G3" s="393">
        <v>320</v>
      </c>
      <c r="H3" s="393">
        <v>277</v>
      </c>
      <c r="I3" s="417" t="s">
        <v>28</v>
      </c>
      <c r="J3" s="417">
        <v>1</v>
      </c>
    </row>
    <row r="4" spans="1:10" x14ac:dyDescent="0.2">
      <c r="A4" s="202" t="s">
        <v>352</v>
      </c>
      <c r="B4" s="202" t="s">
        <v>26</v>
      </c>
      <c r="C4" s="202" t="s">
        <v>366</v>
      </c>
      <c r="D4" s="202" t="s">
        <v>29</v>
      </c>
      <c r="E4" s="393">
        <v>290011.14</v>
      </c>
      <c r="F4" s="393">
        <v>93</v>
      </c>
      <c r="G4" s="393">
        <v>93</v>
      </c>
      <c r="H4" s="393">
        <v>23</v>
      </c>
      <c r="I4" s="417" t="s">
        <v>29</v>
      </c>
      <c r="J4" s="417">
        <v>2</v>
      </c>
    </row>
    <row r="5" spans="1:10" x14ac:dyDescent="0.2">
      <c r="A5" s="202" t="s">
        <v>352</v>
      </c>
      <c r="B5" s="202" t="s">
        <v>26</v>
      </c>
      <c r="C5" s="202" t="s">
        <v>366</v>
      </c>
      <c r="D5" s="202" t="s">
        <v>30</v>
      </c>
      <c r="E5" s="393">
        <v>1243802.1399999999</v>
      </c>
      <c r="F5" s="393">
        <v>205</v>
      </c>
      <c r="G5" s="393">
        <v>154</v>
      </c>
      <c r="H5" s="393">
        <v>153</v>
      </c>
      <c r="I5" s="417" t="s">
        <v>30</v>
      </c>
      <c r="J5" s="417">
        <v>3</v>
      </c>
    </row>
    <row r="6" spans="1:10" x14ac:dyDescent="0.2">
      <c r="A6" s="202" t="s">
        <v>352</v>
      </c>
      <c r="B6" s="202" t="s">
        <v>26</v>
      </c>
      <c r="C6" s="202" t="s">
        <v>366</v>
      </c>
      <c r="D6" s="202" t="s">
        <v>31</v>
      </c>
      <c r="E6" s="393">
        <v>2155367.21</v>
      </c>
      <c r="F6" s="393">
        <v>173</v>
      </c>
      <c r="G6" s="393">
        <v>126</v>
      </c>
      <c r="H6" s="393">
        <v>123</v>
      </c>
      <c r="I6" s="417" t="s">
        <v>31</v>
      </c>
      <c r="J6" s="417">
        <v>4</v>
      </c>
    </row>
    <row r="7" spans="1:10" x14ac:dyDescent="0.2">
      <c r="A7" s="202" t="s">
        <v>352</v>
      </c>
      <c r="B7" s="202" t="s">
        <v>26</v>
      </c>
      <c r="C7" s="202" t="s">
        <v>366</v>
      </c>
      <c r="D7" s="202" t="s">
        <v>32</v>
      </c>
      <c r="E7" s="205">
        <v>56975.4</v>
      </c>
      <c r="F7" s="205">
        <v>33</v>
      </c>
      <c r="G7" s="205">
        <v>33</v>
      </c>
      <c r="H7" s="205">
        <v>3</v>
      </c>
      <c r="I7" s="206"/>
    </row>
    <row r="8" spans="1:10" x14ac:dyDescent="0.2">
      <c r="A8" s="202" t="s">
        <v>352</v>
      </c>
      <c r="B8" s="202" t="s">
        <v>26</v>
      </c>
      <c r="C8" s="202" t="s">
        <v>366</v>
      </c>
      <c r="D8" s="202" t="s">
        <v>33</v>
      </c>
      <c r="E8" s="205">
        <v>0</v>
      </c>
      <c r="F8" s="205">
        <v>0</v>
      </c>
      <c r="G8" s="205">
        <v>0</v>
      </c>
      <c r="H8" s="205">
        <v>0</v>
      </c>
      <c r="I8" s="206"/>
    </row>
    <row r="9" spans="1:10" x14ac:dyDescent="0.2">
      <c r="A9" s="202" t="s">
        <v>352</v>
      </c>
      <c r="B9" s="202" t="s">
        <v>26</v>
      </c>
      <c r="C9" s="202" t="s">
        <v>366</v>
      </c>
      <c r="D9" s="202" t="s">
        <v>34</v>
      </c>
      <c r="E9" s="205">
        <v>0</v>
      </c>
      <c r="F9" s="205">
        <v>0</v>
      </c>
      <c r="G9" s="205">
        <v>0</v>
      </c>
      <c r="H9" s="205">
        <v>0</v>
      </c>
      <c r="I9" s="206"/>
    </row>
    <row r="10" spans="1:10" x14ac:dyDescent="0.2">
      <c r="A10" s="202" t="s">
        <v>352</v>
      </c>
      <c r="B10" s="202" t="s">
        <v>26</v>
      </c>
      <c r="C10" s="202" t="s">
        <v>366</v>
      </c>
      <c r="D10" s="202" t="s">
        <v>35</v>
      </c>
      <c r="E10" s="205">
        <v>0</v>
      </c>
      <c r="F10" s="205">
        <v>0</v>
      </c>
      <c r="G10" s="205">
        <v>0</v>
      </c>
      <c r="H10" s="205">
        <v>0</v>
      </c>
      <c r="I10" s="206"/>
    </row>
    <row r="11" spans="1:10" x14ac:dyDescent="0.2">
      <c r="A11" s="202" t="s">
        <v>352</v>
      </c>
      <c r="B11" s="202" t="s">
        <v>26</v>
      </c>
      <c r="C11" s="202" t="s">
        <v>366</v>
      </c>
      <c r="D11" s="202" t="s">
        <v>36</v>
      </c>
      <c r="E11" s="205">
        <v>0</v>
      </c>
      <c r="F11" s="205">
        <v>0</v>
      </c>
      <c r="G11" s="205">
        <v>0</v>
      </c>
      <c r="H11" s="205">
        <v>0</v>
      </c>
      <c r="I11" s="206"/>
    </row>
    <row r="12" spans="1:10" x14ac:dyDescent="0.2">
      <c r="A12" s="202" t="s">
        <v>352</v>
      </c>
      <c r="B12" s="202" t="s">
        <v>26</v>
      </c>
      <c r="C12" s="202" t="s">
        <v>366</v>
      </c>
      <c r="D12" s="202" t="s">
        <v>37</v>
      </c>
      <c r="E12" s="205">
        <v>0</v>
      </c>
      <c r="F12" s="205">
        <v>0</v>
      </c>
      <c r="G12" s="205">
        <v>0</v>
      </c>
      <c r="H12" s="205">
        <v>0</v>
      </c>
      <c r="I12" s="206"/>
    </row>
    <row r="13" spans="1:10" x14ac:dyDescent="0.2">
      <c r="A13" s="202" t="s">
        <v>352</v>
      </c>
      <c r="B13" s="202" t="s">
        <v>26</v>
      </c>
      <c r="C13" s="202" t="s">
        <v>366</v>
      </c>
      <c r="D13" s="202" t="s">
        <v>26</v>
      </c>
      <c r="E13" s="205">
        <v>79496.149999999994</v>
      </c>
      <c r="F13" s="205">
        <v>20</v>
      </c>
      <c r="G13" s="205">
        <v>7</v>
      </c>
      <c r="H13" s="205">
        <v>5</v>
      </c>
      <c r="I13" s="206"/>
    </row>
    <row r="14" spans="1:10" x14ac:dyDescent="0.2">
      <c r="A14" s="202" t="s">
        <v>352</v>
      </c>
      <c r="B14" s="202" t="s">
        <v>26</v>
      </c>
      <c r="C14" s="202" t="s">
        <v>366</v>
      </c>
      <c r="D14" s="202" t="s">
        <v>38</v>
      </c>
      <c r="E14" s="205">
        <v>0</v>
      </c>
      <c r="F14" s="205">
        <v>0</v>
      </c>
      <c r="G14" s="205">
        <v>0</v>
      </c>
      <c r="H14" s="205">
        <v>0</v>
      </c>
      <c r="I14" s="206"/>
    </row>
    <row r="15" spans="1:10" x14ac:dyDescent="0.2">
      <c r="A15" s="202" t="s">
        <v>352</v>
      </c>
      <c r="B15" s="202" t="s">
        <v>26</v>
      </c>
      <c r="C15" s="202" t="s">
        <v>366</v>
      </c>
      <c r="D15" s="202" t="s">
        <v>39</v>
      </c>
      <c r="E15" s="393">
        <v>399000</v>
      </c>
      <c r="F15" s="393">
        <v>42</v>
      </c>
      <c r="G15" s="393">
        <v>49</v>
      </c>
      <c r="H15" s="393">
        <v>47</v>
      </c>
      <c r="I15" s="213"/>
      <c r="J15" s="417">
        <v>7</v>
      </c>
    </row>
    <row r="16" spans="1:10" x14ac:dyDescent="0.2">
      <c r="A16" s="202" t="s">
        <v>352</v>
      </c>
      <c r="B16" s="202" t="s">
        <v>26</v>
      </c>
      <c r="C16" s="202" t="s">
        <v>366</v>
      </c>
      <c r="D16" s="202" t="s">
        <v>40</v>
      </c>
      <c r="E16" s="205">
        <v>0</v>
      </c>
      <c r="F16" s="205">
        <v>0</v>
      </c>
      <c r="G16" s="205">
        <v>0</v>
      </c>
      <c r="H16" s="205">
        <v>0</v>
      </c>
      <c r="I16" s="206"/>
    </row>
    <row r="17" spans="1:11" x14ac:dyDescent="0.2">
      <c r="A17" s="202" t="s">
        <v>352</v>
      </c>
      <c r="B17" s="202" t="s">
        <v>26</v>
      </c>
      <c r="C17" s="202" t="s">
        <v>366</v>
      </c>
      <c r="D17" s="202" t="s">
        <v>41</v>
      </c>
      <c r="E17" s="205">
        <v>0</v>
      </c>
      <c r="F17" s="205">
        <v>0</v>
      </c>
      <c r="G17" s="205">
        <v>0</v>
      </c>
      <c r="H17" s="205">
        <v>0</v>
      </c>
      <c r="I17" s="206"/>
    </row>
    <row r="18" spans="1:11" x14ac:dyDescent="0.2">
      <c r="A18" s="202" t="s">
        <v>352</v>
      </c>
      <c r="B18" s="202" t="s">
        <v>26</v>
      </c>
      <c r="C18" s="202" t="s">
        <v>366</v>
      </c>
      <c r="D18" s="202" t="s">
        <v>42</v>
      </c>
      <c r="E18" s="205">
        <v>0</v>
      </c>
      <c r="F18" s="205">
        <v>0</v>
      </c>
      <c r="G18" s="205">
        <v>0</v>
      </c>
      <c r="H18" s="205">
        <v>0</v>
      </c>
      <c r="I18" s="206"/>
    </row>
    <row r="19" spans="1:11" x14ac:dyDescent="0.2">
      <c r="A19" s="202" t="s">
        <v>352</v>
      </c>
      <c r="B19" s="202" t="s">
        <v>26</v>
      </c>
      <c r="C19" s="202" t="s">
        <v>366</v>
      </c>
      <c r="D19" s="202" t="s">
        <v>43</v>
      </c>
      <c r="E19" s="205">
        <v>0</v>
      </c>
      <c r="F19" s="205">
        <v>0</v>
      </c>
      <c r="G19" s="205">
        <v>0</v>
      </c>
      <c r="H19" s="205">
        <v>0</v>
      </c>
      <c r="I19" s="206"/>
    </row>
    <row r="20" spans="1:11" x14ac:dyDescent="0.2">
      <c r="A20" s="202" t="s">
        <v>352</v>
      </c>
      <c r="B20" s="202" t="s">
        <v>26</v>
      </c>
      <c r="C20" s="202" t="s">
        <v>366</v>
      </c>
      <c r="D20" s="202" t="s">
        <v>44</v>
      </c>
      <c r="E20" s="393">
        <v>3234700</v>
      </c>
      <c r="F20" s="393">
        <v>117</v>
      </c>
      <c r="G20" s="393">
        <v>104</v>
      </c>
      <c r="H20" s="393">
        <v>104</v>
      </c>
      <c r="I20" s="417">
        <v>19</v>
      </c>
      <c r="J20" s="417">
        <v>5</v>
      </c>
    </row>
    <row r="21" spans="1:11" x14ac:dyDescent="0.2">
      <c r="A21" s="202" t="s">
        <v>352</v>
      </c>
      <c r="B21" s="202" t="s">
        <v>26</v>
      </c>
      <c r="C21" s="202" t="s">
        <v>366</v>
      </c>
      <c r="D21" s="202" t="s">
        <v>45</v>
      </c>
      <c r="E21" s="205">
        <v>0</v>
      </c>
      <c r="F21" s="205">
        <v>0</v>
      </c>
      <c r="G21" s="205">
        <v>0</v>
      </c>
      <c r="H21" s="205">
        <v>0</v>
      </c>
      <c r="I21" s="206"/>
    </row>
    <row r="22" spans="1:11" x14ac:dyDescent="0.2">
      <c r="A22" s="202" t="s">
        <v>352</v>
      </c>
      <c r="B22" s="202" t="s">
        <v>26</v>
      </c>
      <c r="C22" s="202" t="s">
        <v>366</v>
      </c>
      <c r="D22" s="202" t="s">
        <v>46</v>
      </c>
      <c r="E22" s="393">
        <v>3015000</v>
      </c>
      <c r="F22" s="393">
        <v>105</v>
      </c>
      <c r="G22" s="393">
        <v>80</v>
      </c>
      <c r="H22" s="393">
        <v>80</v>
      </c>
      <c r="I22" s="417" t="s">
        <v>46</v>
      </c>
      <c r="J22" s="417">
        <v>6</v>
      </c>
    </row>
    <row r="23" spans="1:11" x14ac:dyDescent="0.2">
      <c r="A23" s="202" t="s">
        <v>352</v>
      </c>
      <c r="B23" s="202" t="s">
        <v>26</v>
      </c>
      <c r="C23" s="202" t="s">
        <v>366</v>
      </c>
      <c r="D23" s="202" t="s">
        <v>47</v>
      </c>
      <c r="E23" s="205">
        <v>0</v>
      </c>
      <c r="F23" s="205">
        <v>0</v>
      </c>
      <c r="G23" s="205">
        <v>0</v>
      </c>
      <c r="H23" s="205">
        <v>0</v>
      </c>
    </row>
    <row r="24" spans="1:11" x14ac:dyDescent="0.2">
      <c r="A24" s="202" t="s">
        <v>352</v>
      </c>
      <c r="B24" s="202" t="s">
        <v>26</v>
      </c>
      <c r="C24" s="202" t="s">
        <v>366</v>
      </c>
      <c r="D24" s="202" t="s">
        <v>48</v>
      </c>
      <c r="E24" s="205">
        <v>0</v>
      </c>
      <c r="F24" s="205">
        <v>0</v>
      </c>
      <c r="G24" s="205">
        <v>0</v>
      </c>
      <c r="H24" s="205">
        <v>0</v>
      </c>
    </row>
    <row r="25" spans="1:11" x14ac:dyDescent="0.2">
      <c r="A25" s="202" t="s">
        <v>352</v>
      </c>
      <c r="B25" s="202" t="s">
        <v>26</v>
      </c>
      <c r="C25" s="202" t="s">
        <v>366</v>
      </c>
      <c r="D25" s="202" t="s">
        <v>354</v>
      </c>
      <c r="E25" s="205">
        <v>0</v>
      </c>
      <c r="F25" s="205">
        <v>0</v>
      </c>
      <c r="G25" s="205">
        <v>0</v>
      </c>
      <c r="H25" s="205">
        <v>0</v>
      </c>
    </row>
    <row r="26" spans="1:11" x14ac:dyDescent="0.2">
      <c r="A26" s="202" t="s">
        <v>352</v>
      </c>
      <c r="B26" s="202" t="s">
        <v>26</v>
      </c>
      <c r="C26" s="202" t="s">
        <v>366</v>
      </c>
      <c r="D26" s="202" t="s">
        <v>355</v>
      </c>
      <c r="E26" s="205">
        <v>0</v>
      </c>
      <c r="F26" s="205">
        <v>0</v>
      </c>
      <c r="G26" s="205">
        <v>0</v>
      </c>
      <c r="H26" s="205">
        <v>0</v>
      </c>
    </row>
    <row r="27" spans="1:11" x14ac:dyDescent="0.2">
      <c r="A27" s="202" t="s">
        <v>352</v>
      </c>
      <c r="B27" s="202" t="s">
        <v>26</v>
      </c>
      <c r="C27" s="202" t="s">
        <v>366</v>
      </c>
      <c r="D27" s="202" t="s">
        <v>356</v>
      </c>
      <c r="E27" s="205">
        <v>0</v>
      </c>
      <c r="F27" s="205">
        <v>0</v>
      </c>
      <c r="G27" s="205">
        <v>0</v>
      </c>
      <c r="H27" s="205">
        <v>0</v>
      </c>
    </row>
    <row r="28" spans="1:11" x14ac:dyDescent="0.2">
      <c r="A28" s="254" t="s">
        <v>352</v>
      </c>
      <c r="B28" s="254" t="s">
        <v>26</v>
      </c>
      <c r="C28" s="254" t="s">
        <v>366</v>
      </c>
      <c r="D28" s="254" t="s">
        <v>357</v>
      </c>
      <c r="E28" s="255">
        <v>29306258.260000002</v>
      </c>
      <c r="F28" s="255">
        <v>2572</v>
      </c>
      <c r="G28" s="255">
        <v>1932</v>
      </c>
      <c r="H28" s="255">
        <v>1630</v>
      </c>
    </row>
    <row r="29" spans="1:11" x14ac:dyDescent="0.2">
      <c r="A29" s="202" t="s">
        <v>352</v>
      </c>
      <c r="B29" s="202" t="s">
        <v>26</v>
      </c>
      <c r="C29" s="202" t="s">
        <v>366</v>
      </c>
      <c r="D29" s="202" t="s">
        <v>49</v>
      </c>
      <c r="E29" s="205">
        <v>240</v>
      </c>
      <c r="F29" s="205">
        <v>0</v>
      </c>
      <c r="G29" s="205">
        <v>0</v>
      </c>
      <c r="H29" s="205">
        <v>0</v>
      </c>
    </row>
    <row r="30" spans="1:11" x14ac:dyDescent="0.2">
      <c r="A30" s="202" t="s">
        <v>352</v>
      </c>
      <c r="B30" s="202" t="s">
        <v>26</v>
      </c>
      <c r="C30" s="202" t="s">
        <v>366</v>
      </c>
      <c r="D30" s="202" t="s">
        <v>50</v>
      </c>
      <c r="E30" s="205">
        <v>20</v>
      </c>
      <c r="F30" s="205">
        <v>0</v>
      </c>
      <c r="G30" s="205">
        <v>0</v>
      </c>
      <c r="H30" s="205">
        <v>0</v>
      </c>
    </row>
    <row r="31" spans="1:11" x14ac:dyDescent="0.2">
      <c r="D31" s="209" t="s">
        <v>93</v>
      </c>
      <c r="E31" s="210">
        <f>SUM(E3:E6,E20,E22)</f>
        <v>14117657.579999998</v>
      </c>
      <c r="F31" s="210">
        <f>SUM(F3:F6,F20,F22)</f>
        <v>1191</v>
      </c>
      <c r="G31" s="210">
        <f>SUM(G3:G6,G20,G22)</f>
        <v>877</v>
      </c>
      <c r="H31" s="210">
        <f>SUM(H3:H6,H20,H22)</f>
        <v>760</v>
      </c>
      <c r="I31" s="212"/>
      <c r="K31" s="393">
        <f>SUM(H31)/G31*100</f>
        <v>86.659064994298745</v>
      </c>
    </row>
    <row r="32" spans="1:11" x14ac:dyDescent="0.2">
      <c r="D32" s="418" t="s">
        <v>105</v>
      </c>
      <c r="E32" s="419">
        <f>E3+E4+E5+E6+E20+E22</f>
        <v>14117657.579999998</v>
      </c>
      <c r="I32" s="212"/>
    </row>
    <row r="33" spans="4:11" x14ac:dyDescent="0.2">
      <c r="D33" s="204"/>
      <c r="E33" s="205">
        <f>SUM(E3:E20,E22,E24:E27)</f>
        <v>14653129.129999999</v>
      </c>
      <c r="I33" s="212"/>
    </row>
    <row r="34" spans="4:11" x14ac:dyDescent="0.2">
      <c r="D34" s="209" t="s">
        <v>295</v>
      </c>
      <c r="E34" s="210">
        <f>SUM(E3:E6,E15,E20,E22)</f>
        <v>14516657.579999998</v>
      </c>
      <c r="F34" s="210">
        <f>SUM(F3:F6,F15,F20,F22)</f>
        <v>1233</v>
      </c>
      <c r="G34" s="210">
        <f>SUM(G3:G6,G15,G20,G22)</f>
        <v>926</v>
      </c>
      <c r="H34" s="210">
        <f>SUM(H3:H6,H15,H20,H22)</f>
        <v>807</v>
      </c>
      <c r="I34" s="212"/>
      <c r="K34" s="393">
        <f>SUM(H34)/G34*100</f>
        <v>87.149028077753769</v>
      </c>
    </row>
    <row r="35" spans="4:11" x14ac:dyDescent="0.2">
      <c r="D35" s="418" t="s">
        <v>105</v>
      </c>
      <c r="E35" s="419">
        <f>E3+E4+E5+E6+E15+E20+E22</f>
        <v>14516657.579999998</v>
      </c>
      <c r="F35" s="202"/>
      <c r="G35" s="202"/>
      <c r="H35" s="202"/>
    </row>
    <row r="36" spans="4:11" x14ac:dyDescent="0.2">
      <c r="D36" s="204"/>
      <c r="E36" s="205">
        <f>SUM(E3:E20,E22,E24:E27)</f>
        <v>14653129.129999999</v>
      </c>
      <c r="F36" s="202"/>
      <c r="G36" s="202"/>
      <c r="H36" s="20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Arkusz36">
    <tabColor theme="9" tint="0.59999389629810485"/>
  </sheetPr>
  <dimension ref="A1:M36"/>
  <sheetViews>
    <sheetView zoomScale="80" zoomScaleNormal="80" workbookViewId="0"/>
  </sheetViews>
  <sheetFormatPr defaultRowHeight="14.25" x14ac:dyDescent="0.2"/>
  <cols>
    <col min="1" max="3" width="9.140625" style="204"/>
    <col min="4" max="4" width="9.140625" style="202"/>
    <col min="5" max="5" width="12.7109375" style="204" customWidth="1"/>
    <col min="6" max="6" width="11.85546875" style="204" customWidth="1"/>
    <col min="7" max="7" width="11.7109375" style="204" customWidth="1"/>
    <col min="8" max="8" width="11.140625" style="204" customWidth="1"/>
    <col min="9" max="10" width="5.85546875" style="204" customWidth="1"/>
    <col min="11" max="16384" width="9.140625" style="204"/>
  </cols>
  <sheetData>
    <row r="1" spans="1:13" s="394" customFormat="1" x14ac:dyDescent="0.2">
      <c r="A1" s="392" t="s">
        <v>22</v>
      </c>
      <c r="B1" s="392" t="s">
        <v>23</v>
      </c>
      <c r="C1" s="392" t="s">
        <v>24</v>
      </c>
      <c r="D1" s="392" t="s">
        <v>25</v>
      </c>
      <c r="E1" s="393" t="s">
        <v>95</v>
      </c>
      <c r="F1" s="393" t="s">
        <v>53</v>
      </c>
      <c r="G1" s="393" t="s">
        <v>54</v>
      </c>
      <c r="H1" s="393" t="s">
        <v>94</v>
      </c>
    </row>
    <row r="2" spans="1:13" x14ac:dyDescent="0.2">
      <c r="A2" s="202" t="s">
        <v>352</v>
      </c>
      <c r="B2" s="202" t="s">
        <v>26</v>
      </c>
      <c r="C2" s="202" t="s">
        <v>367</v>
      </c>
      <c r="D2" s="202" t="s">
        <v>27</v>
      </c>
      <c r="E2" s="205">
        <v>14224630.18</v>
      </c>
      <c r="F2" s="205">
        <v>1640</v>
      </c>
      <c r="G2" s="205">
        <v>1230</v>
      </c>
      <c r="H2" s="205">
        <v>1084</v>
      </c>
    </row>
    <row r="3" spans="1:13" x14ac:dyDescent="0.2">
      <c r="A3" s="202" t="s">
        <v>352</v>
      </c>
      <c r="B3" s="202" t="s">
        <v>26</v>
      </c>
      <c r="C3" s="202" t="s">
        <v>367</v>
      </c>
      <c r="D3" s="202" t="s">
        <v>28</v>
      </c>
      <c r="E3" s="393">
        <v>4946915.18</v>
      </c>
      <c r="F3" s="393">
        <v>860</v>
      </c>
      <c r="G3" s="393">
        <v>632</v>
      </c>
      <c r="H3" s="393">
        <v>552</v>
      </c>
      <c r="I3" s="417" t="s">
        <v>28</v>
      </c>
      <c r="J3" s="417">
        <v>1</v>
      </c>
      <c r="L3" s="205">
        <f>SUM(E3)/H3</f>
        <v>8961.8028623188402</v>
      </c>
      <c r="M3" s="204">
        <f>SUM(L3)/6</f>
        <v>1493.6338103864734</v>
      </c>
    </row>
    <row r="4" spans="1:13" x14ac:dyDescent="0.2">
      <c r="A4" s="202" t="s">
        <v>352</v>
      </c>
      <c r="B4" s="202" t="s">
        <v>26</v>
      </c>
      <c r="C4" s="202" t="s">
        <v>367</v>
      </c>
      <c r="D4" s="202" t="s">
        <v>29</v>
      </c>
      <c r="E4" s="393">
        <v>41266.33</v>
      </c>
      <c r="F4" s="393">
        <v>13</v>
      </c>
      <c r="G4" s="393">
        <v>13</v>
      </c>
      <c r="H4" s="393">
        <v>9</v>
      </c>
      <c r="I4" s="417" t="s">
        <v>29</v>
      </c>
      <c r="J4" s="417">
        <v>2</v>
      </c>
    </row>
    <row r="5" spans="1:13" x14ac:dyDescent="0.2">
      <c r="A5" s="202" t="s">
        <v>352</v>
      </c>
      <c r="B5" s="202" t="s">
        <v>26</v>
      </c>
      <c r="C5" s="202" t="s">
        <v>367</v>
      </c>
      <c r="D5" s="202" t="s">
        <v>30</v>
      </c>
      <c r="E5" s="393">
        <v>1598752.68</v>
      </c>
      <c r="F5" s="393">
        <v>366</v>
      </c>
      <c r="G5" s="393">
        <v>251</v>
      </c>
      <c r="H5" s="393">
        <v>211</v>
      </c>
      <c r="I5" s="417" t="s">
        <v>30</v>
      </c>
      <c r="J5" s="417">
        <v>3</v>
      </c>
    </row>
    <row r="6" spans="1:13" x14ac:dyDescent="0.2">
      <c r="A6" s="202" t="s">
        <v>352</v>
      </c>
      <c r="B6" s="202" t="s">
        <v>26</v>
      </c>
      <c r="C6" s="202" t="s">
        <v>367</v>
      </c>
      <c r="D6" s="202" t="s">
        <v>31</v>
      </c>
      <c r="E6" s="393">
        <v>728180.29</v>
      </c>
      <c r="F6" s="393">
        <v>67</v>
      </c>
      <c r="G6" s="393">
        <v>65</v>
      </c>
      <c r="H6" s="393">
        <v>64</v>
      </c>
      <c r="I6" s="417" t="s">
        <v>31</v>
      </c>
      <c r="J6" s="417">
        <v>4</v>
      </c>
    </row>
    <row r="7" spans="1:13" x14ac:dyDescent="0.2">
      <c r="A7" s="202" t="s">
        <v>352</v>
      </c>
      <c r="B7" s="202" t="s">
        <v>26</v>
      </c>
      <c r="C7" s="202" t="s">
        <v>367</v>
      </c>
      <c r="D7" s="202" t="s">
        <v>32</v>
      </c>
      <c r="E7" s="205">
        <v>0</v>
      </c>
      <c r="F7" s="205">
        <v>0</v>
      </c>
      <c r="G7" s="205">
        <v>0</v>
      </c>
      <c r="H7" s="205">
        <v>0</v>
      </c>
      <c r="I7" s="206"/>
    </row>
    <row r="8" spans="1:13" x14ac:dyDescent="0.2">
      <c r="A8" s="202" t="s">
        <v>352</v>
      </c>
      <c r="B8" s="202" t="s">
        <v>26</v>
      </c>
      <c r="C8" s="202" t="s">
        <v>367</v>
      </c>
      <c r="D8" s="202" t="s">
        <v>33</v>
      </c>
      <c r="E8" s="205">
        <v>0</v>
      </c>
      <c r="F8" s="205">
        <v>0</v>
      </c>
      <c r="G8" s="205">
        <v>0</v>
      </c>
      <c r="H8" s="205">
        <v>0</v>
      </c>
      <c r="I8" s="206"/>
    </row>
    <row r="9" spans="1:13" x14ac:dyDescent="0.2">
      <c r="A9" s="202" t="s">
        <v>352</v>
      </c>
      <c r="B9" s="202" t="s">
        <v>26</v>
      </c>
      <c r="C9" s="202" t="s">
        <v>367</v>
      </c>
      <c r="D9" s="202" t="s">
        <v>34</v>
      </c>
      <c r="E9" s="205">
        <v>0</v>
      </c>
      <c r="F9" s="205">
        <v>0</v>
      </c>
      <c r="G9" s="205">
        <v>0</v>
      </c>
      <c r="H9" s="205">
        <v>0</v>
      </c>
      <c r="I9" s="206"/>
    </row>
    <row r="10" spans="1:13" x14ac:dyDescent="0.2">
      <c r="A10" s="202" t="s">
        <v>352</v>
      </c>
      <c r="B10" s="202" t="s">
        <v>26</v>
      </c>
      <c r="C10" s="202" t="s">
        <v>367</v>
      </c>
      <c r="D10" s="202" t="s">
        <v>35</v>
      </c>
      <c r="E10" s="205">
        <v>0</v>
      </c>
      <c r="F10" s="205">
        <v>0</v>
      </c>
      <c r="G10" s="205">
        <v>0</v>
      </c>
      <c r="H10" s="205">
        <v>0</v>
      </c>
      <c r="I10" s="206"/>
    </row>
    <row r="11" spans="1:13" x14ac:dyDescent="0.2">
      <c r="A11" s="202" t="s">
        <v>352</v>
      </c>
      <c r="B11" s="202" t="s">
        <v>26</v>
      </c>
      <c r="C11" s="202" t="s">
        <v>367</v>
      </c>
      <c r="D11" s="202" t="s">
        <v>36</v>
      </c>
      <c r="E11" s="205">
        <v>0</v>
      </c>
      <c r="F11" s="205">
        <v>0</v>
      </c>
      <c r="G11" s="205">
        <v>0</v>
      </c>
      <c r="H11" s="205">
        <v>0</v>
      </c>
      <c r="I11" s="206"/>
    </row>
    <row r="12" spans="1:13" x14ac:dyDescent="0.2">
      <c r="A12" s="202" t="s">
        <v>352</v>
      </c>
      <c r="B12" s="202" t="s">
        <v>26</v>
      </c>
      <c r="C12" s="202" t="s">
        <v>367</v>
      </c>
      <c r="D12" s="202" t="s">
        <v>37</v>
      </c>
      <c r="E12" s="205">
        <v>0</v>
      </c>
      <c r="F12" s="205">
        <v>0</v>
      </c>
      <c r="G12" s="205">
        <v>0</v>
      </c>
      <c r="H12" s="205">
        <v>0</v>
      </c>
      <c r="I12" s="206"/>
    </row>
    <row r="13" spans="1:13" x14ac:dyDescent="0.2">
      <c r="A13" s="202" t="s">
        <v>352</v>
      </c>
      <c r="B13" s="202" t="s">
        <v>26</v>
      </c>
      <c r="C13" s="202" t="s">
        <v>367</v>
      </c>
      <c r="D13" s="202" t="s">
        <v>26</v>
      </c>
      <c r="E13" s="205">
        <v>7623.21</v>
      </c>
      <c r="F13" s="205">
        <v>2</v>
      </c>
      <c r="G13" s="205">
        <v>1</v>
      </c>
      <c r="H13" s="205">
        <v>0</v>
      </c>
      <c r="I13" s="206"/>
    </row>
    <row r="14" spans="1:13" x14ac:dyDescent="0.2">
      <c r="A14" s="202" t="s">
        <v>352</v>
      </c>
      <c r="B14" s="202" t="s">
        <v>26</v>
      </c>
      <c r="C14" s="202" t="s">
        <v>367</v>
      </c>
      <c r="D14" s="202" t="s">
        <v>38</v>
      </c>
      <c r="E14" s="205">
        <v>0</v>
      </c>
      <c r="F14" s="205">
        <v>0</v>
      </c>
      <c r="G14" s="205">
        <v>0</v>
      </c>
      <c r="H14" s="205">
        <v>0</v>
      </c>
      <c r="I14" s="206"/>
    </row>
    <row r="15" spans="1:13" x14ac:dyDescent="0.2">
      <c r="A15" s="202" t="s">
        <v>352</v>
      </c>
      <c r="B15" s="202" t="s">
        <v>26</v>
      </c>
      <c r="C15" s="202" t="s">
        <v>367</v>
      </c>
      <c r="D15" s="202" t="s">
        <v>39</v>
      </c>
      <c r="E15" s="393">
        <v>192000</v>
      </c>
      <c r="F15" s="393">
        <v>24</v>
      </c>
      <c r="G15" s="393">
        <v>24</v>
      </c>
      <c r="H15" s="393">
        <v>24</v>
      </c>
      <c r="I15" s="213"/>
      <c r="J15" s="417">
        <v>7</v>
      </c>
    </row>
    <row r="16" spans="1:13" x14ac:dyDescent="0.2">
      <c r="A16" s="202" t="s">
        <v>352</v>
      </c>
      <c r="B16" s="202" t="s">
        <v>26</v>
      </c>
      <c r="C16" s="202" t="s">
        <v>367</v>
      </c>
      <c r="D16" s="202" t="s">
        <v>40</v>
      </c>
      <c r="E16" s="205">
        <v>0</v>
      </c>
      <c r="F16" s="205">
        <v>0</v>
      </c>
      <c r="G16" s="205">
        <v>0</v>
      </c>
      <c r="H16" s="205">
        <v>0</v>
      </c>
      <c r="I16" s="206"/>
    </row>
    <row r="17" spans="1:11" x14ac:dyDescent="0.2">
      <c r="A17" s="202" t="s">
        <v>352</v>
      </c>
      <c r="B17" s="202" t="s">
        <v>26</v>
      </c>
      <c r="C17" s="202" t="s">
        <v>367</v>
      </c>
      <c r="D17" s="202" t="s">
        <v>41</v>
      </c>
      <c r="E17" s="205">
        <v>0</v>
      </c>
      <c r="F17" s="205">
        <v>0</v>
      </c>
      <c r="G17" s="205">
        <v>0</v>
      </c>
      <c r="H17" s="205">
        <v>0</v>
      </c>
      <c r="I17" s="206"/>
    </row>
    <row r="18" spans="1:11" x14ac:dyDescent="0.2">
      <c r="A18" s="202" t="s">
        <v>352</v>
      </c>
      <c r="B18" s="202" t="s">
        <v>26</v>
      </c>
      <c r="C18" s="202" t="s">
        <v>367</v>
      </c>
      <c r="D18" s="202" t="s">
        <v>42</v>
      </c>
      <c r="E18" s="205">
        <v>0</v>
      </c>
      <c r="F18" s="205">
        <v>0</v>
      </c>
      <c r="G18" s="205">
        <v>0</v>
      </c>
      <c r="H18" s="205">
        <v>0</v>
      </c>
      <c r="I18" s="206"/>
    </row>
    <row r="19" spans="1:11" x14ac:dyDescent="0.2">
      <c r="A19" s="202" t="s">
        <v>352</v>
      </c>
      <c r="B19" s="202" t="s">
        <v>26</v>
      </c>
      <c r="C19" s="202" t="s">
        <v>367</v>
      </c>
      <c r="D19" s="202" t="s">
        <v>43</v>
      </c>
      <c r="E19" s="205">
        <v>0</v>
      </c>
      <c r="F19" s="205">
        <v>0</v>
      </c>
      <c r="G19" s="205">
        <v>0</v>
      </c>
      <c r="H19" s="205">
        <v>0</v>
      </c>
      <c r="I19" s="206"/>
    </row>
    <row r="20" spans="1:11" x14ac:dyDescent="0.2">
      <c r="A20" s="202" t="s">
        <v>352</v>
      </c>
      <c r="B20" s="202" t="s">
        <v>26</v>
      </c>
      <c r="C20" s="202" t="s">
        <v>367</v>
      </c>
      <c r="D20" s="202" t="s">
        <v>44</v>
      </c>
      <c r="E20" s="393">
        <v>2230408.5699999998</v>
      </c>
      <c r="F20" s="393">
        <v>104</v>
      </c>
      <c r="G20" s="393">
        <v>109</v>
      </c>
      <c r="H20" s="393">
        <v>107</v>
      </c>
      <c r="I20" s="417">
        <v>19</v>
      </c>
      <c r="J20" s="417">
        <v>5</v>
      </c>
    </row>
    <row r="21" spans="1:11" x14ac:dyDescent="0.2">
      <c r="A21" s="202" t="s">
        <v>352</v>
      </c>
      <c r="B21" s="202" t="s">
        <v>26</v>
      </c>
      <c r="C21" s="202" t="s">
        <v>367</v>
      </c>
      <c r="D21" s="202" t="s">
        <v>45</v>
      </c>
      <c r="E21" s="205">
        <v>0</v>
      </c>
      <c r="F21" s="205">
        <v>0</v>
      </c>
      <c r="G21" s="205">
        <v>0</v>
      </c>
      <c r="H21" s="205">
        <v>0</v>
      </c>
      <c r="I21" s="206"/>
    </row>
    <row r="22" spans="1:11" x14ac:dyDescent="0.2">
      <c r="A22" s="202" t="s">
        <v>352</v>
      </c>
      <c r="B22" s="202" t="s">
        <v>26</v>
      </c>
      <c r="C22" s="202" t="s">
        <v>367</v>
      </c>
      <c r="D22" s="202" t="s">
        <v>46</v>
      </c>
      <c r="E22" s="393">
        <v>4479483.92</v>
      </c>
      <c r="F22" s="393">
        <v>204</v>
      </c>
      <c r="G22" s="393">
        <v>135</v>
      </c>
      <c r="H22" s="393">
        <v>117</v>
      </c>
      <c r="I22" s="417" t="s">
        <v>46</v>
      </c>
      <c r="J22" s="417">
        <v>6</v>
      </c>
    </row>
    <row r="23" spans="1:11" x14ac:dyDescent="0.2">
      <c r="A23" s="202" t="s">
        <v>352</v>
      </c>
      <c r="B23" s="202" t="s">
        <v>26</v>
      </c>
      <c r="C23" s="202" t="s">
        <v>367</v>
      </c>
      <c r="D23" s="202" t="s">
        <v>47</v>
      </c>
      <c r="E23" s="205">
        <v>0</v>
      </c>
      <c r="F23" s="205">
        <v>0</v>
      </c>
      <c r="G23" s="205">
        <v>0</v>
      </c>
      <c r="H23" s="205">
        <v>0</v>
      </c>
    </row>
    <row r="24" spans="1:11" x14ac:dyDescent="0.2">
      <c r="A24" s="202" t="s">
        <v>352</v>
      </c>
      <c r="B24" s="202" t="s">
        <v>26</v>
      </c>
      <c r="C24" s="202" t="s">
        <v>367</v>
      </c>
      <c r="D24" s="202" t="s">
        <v>48</v>
      </c>
      <c r="E24" s="205">
        <v>0</v>
      </c>
      <c r="F24" s="205">
        <v>0</v>
      </c>
      <c r="G24" s="205">
        <v>0</v>
      </c>
      <c r="H24" s="205">
        <v>0</v>
      </c>
    </row>
    <row r="25" spans="1:11" x14ac:dyDescent="0.2">
      <c r="A25" s="202" t="s">
        <v>352</v>
      </c>
      <c r="B25" s="202" t="s">
        <v>26</v>
      </c>
      <c r="C25" s="202" t="s">
        <v>367</v>
      </c>
      <c r="D25" s="202" t="s">
        <v>354</v>
      </c>
      <c r="E25" s="205">
        <v>0</v>
      </c>
      <c r="F25" s="205">
        <v>0</v>
      </c>
      <c r="G25" s="205">
        <v>0</v>
      </c>
      <c r="H25" s="205">
        <v>0</v>
      </c>
    </row>
    <row r="26" spans="1:11" x14ac:dyDescent="0.2">
      <c r="A26" s="202" t="s">
        <v>352</v>
      </c>
      <c r="B26" s="202" t="s">
        <v>26</v>
      </c>
      <c r="C26" s="202" t="s">
        <v>367</v>
      </c>
      <c r="D26" s="202" t="s">
        <v>355</v>
      </c>
      <c r="E26" s="205">
        <v>0</v>
      </c>
      <c r="F26" s="205">
        <v>0</v>
      </c>
      <c r="G26" s="205">
        <v>0</v>
      </c>
      <c r="H26" s="205">
        <v>0</v>
      </c>
    </row>
    <row r="27" spans="1:11" x14ac:dyDescent="0.2">
      <c r="A27" s="202" t="s">
        <v>352</v>
      </c>
      <c r="B27" s="202" t="s">
        <v>26</v>
      </c>
      <c r="C27" s="202" t="s">
        <v>367</v>
      </c>
      <c r="D27" s="202" t="s">
        <v>356</v>
      </c>
      <c r="E27" s="205">
        <v>0</v>
      </c>
      <c r="F27" s="205">
        <v>0</v>
      </c>
      <c r="G27" s="205">
        <v>0</v>
      </c>
      <c r="H27" s="205">
        <v>0</v>
      </c>
    </row>
    <row r="28" spans="1:11" x14ac:dyDescent="0.2">
      <c r="A28" s="254" t="s">
        <v>352</v>
      </c>
      <c r="B28" s="254" t="s">
        <v>26</v>
      </c>
      <c r="C28" s="254" t="s">
        <v>367</v>
      </c>
      <c r="D28" s="254" t="s">
        <v>357</v>
      </c>
      <c r="E28" s="255">
        <v>28449260.359999999</v>
      </c>
      <c r="F28" s="255">
        <v>3280</v>
      </c>
      <c r="G28" s="255">
        <v>2460</v>
      </c>
      <c r="H28" s="255">
        <v>2168</v>
      </c>
    </row>
    <row r="29" spans="1:11" x14ac:dyDescent="0.2">
      <c r="A29" s="202" t="s">
        <v>352</v>
      </c>
      <c r="B29" s="202" t="s">
        <v>26</v>
      </c>
      <c r="C29" s="202" t="s">
        <v>367</v>
      </c>
      <c r="D29" s="202" t="s">
        <v>49</v>
      </c>
      <c r="E29" s="205">
        <v>600</v>
      </c>
      <c r="F29" s="205">
        <v>0</v>
      </c>
      <c r="G29" s="205">
        <v>0</v>
      </c>
      <c r="H29" s="205">
        <v>0</v>
      </c>
    </row>
    <row r="30" spans="1:11" x14ac:dyDescent="0.2">
      <c r="A30" s="202" t="s">
        <v>352</v>
      </c>
      <c r="B30" s="202" t="s">
        <v>26</v>
      </c>
      <c r="C30" s="202" t="s">
        <v>367</v>
      </c>
      <c r="D30" s="202" t="s">
        <v>50</v>
      </c>
      <c r="E30" s="205">
        <v>30</v>
      </c>
      <c r="F30" s="205">
        <v>0</v>
      </c>
      <c r="G30" s="205">
        <v>0</v>
      </c>
      <c r="H30" s="205">
        <v>0</v>
      </c>
    </row>
    <row r="31" spans="1:11" x14ac:dyDescent="0.2">
      <c r="D31" s="209" t="s">
        <v>93</v>
      </c>
      <c r="E31" s="210">
        <f>SUM(E3:E6,E20,E22)</f>
        <v>14025006.969999999</v>
      </c>
      <c r="F31" s="210">
        <f>SUM(F3:F6,F20,F22)</f>
        <v>1614</v>
      </c>
      <c r="G31" s="210">
        <f>SUM(G3:G6,G20,G22)</f>
        <v>1205</v>
      </c>
      <c r="H31" s="210">
        <f>SUM(H3:H6,H20,H22)</f>
        <v>1060</v>
      </c>
      <c r="I31" s="212"/>
      <c r="K31" s="393">
        <f>SUM(H31)/G31*100</f>
        <v>87.966804979253112</v>
      </c>
    </row>
    <row r="32" spans="1:11" x14ac:dyDescent="0.2">
      <c r="D32" s="416" t="s">
        <v>105</v>
      </c>
      <c r="E32" s="393">
        <f>E3+E4+E5+E6+E20+E22</f>
        <v>14025006.969999999</v>
      </c>
      <c r="I32" s="212"/>
    </row>
    <row r="33" spans="4:11" x14ac:dyDescent="0.2">
      <c r="D33" s="204"/>
      <c r="E33" s="205">
        <f>SUM(E3:E20,E22,E24:E27)</f>
        <v>14224630.18</v>
      </c>
      <c r="I33" s="212"/>
    </row>
    <row r="34" spans="4:11" x14ac:dyDescent="0.2">
      <c r="D34" s="209" t="s">
        <v>295</v>
      </c>
      <c r="E34" s="210">
        <f>SUM(E3:E6,E15,E20,E22)</f>
        <v>14217006.969999999</v>
      </c>
      <c r="F34" s="210">
        <f>SUM(F3:F6,F15,F20,F22)</f>
        <v>1638</v>
      </c>
      <c r="G34" s="210">
        <f>SUM(G3:G6,G15,G20,G22)</f>
        <v>1229</v>
      </c>
      <c r="H34" s="210">
        <f>SUM(H3:H6,H15,H20,H22)</f>
        <v>1084</v>
      </c>
      <c r="I34" s="212"/>
      <c r="K34" s="393">
        <f>SUM(H34)/G34*100</f>
        <v>88.201790073230271</v>
      </c>
    </row>
    <row r="35" spans="4:11" x14ac:dyDescent="0.2">
      <c r="D35" s="416" t="s">
        <v>105</v>
      </c>
      <c r="E35" s="393">
        <f>E3+E4+E5+E6+E15+E20+E22</f>
        <v>14217006.969999999</v>
      </c>
      <c r="F35" s="202"/>
      <c r="G35" s="202"/>
      <c r="H35" s="202"/>
    </row>
    <row r="36" spans="4:11" x14ac:dyDescent="0.2">
      <c r="D36" s="204"/>
      <c r="E36" s="205">
        <f>SUM(E3:E20,E22,E24:E27)</f>
        <v>14224630.18</v>
      </c>
      <c r="F36" s="202"/>
      <c r="G36" s="202"/>
      <c r="H36" s="202"/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Arkusz37">
    <tabColor theme="9" tint="0.59999389629810485"/>
  </sheetPr>
  <dimension ref="A1:K36"/>
  <sheetViews>
    <sheetView zoomScale="80" zoomScaleNormal="80" workbookViewId="0"/>
  </sheetViews>
  <sheetFormatPr defaultRowHeight="14.25" x14ac:dyDescent="0.2"/>
  <cols>
    <col min="1" max="3" width="9.140625" style="204"/>
    <col min="4" max="4" width="9.140625" style="202"/>
    <col min="5" max="5" width="14.7109375" style="204" customWidth="1"/>
    <col min="6" max="6" width="11.85546875" style="204" customWidth="1"/>
    <col min="7" max="7" width="11.7109375" style="204" customWidth="1"/>
    <col min="8" max="8" width="11.140625" style="204" customWidth="1"/>
    <col min="9" max="10" width="5.85546875" style="204" customWidth="1"/>
    <col min="11" max="16384" width="9.140625" style="204"/>
  </cols>
  <sheetData>
    <row r="1" spans="1:10" s="394" customFormat="1" x14ac:dyDescent="0.2">
      <c r="A1" s="392" t="s">
        <v>22</v>
      </c>
      <c r="B1" s="392" t="s">
        <v>23</v>
      </c>
      <c r="C1" s="392" t="s">
        <v>24</v>
      </c>
      <c r="D1" s="392" t="s">
        <v>25</v>
      </c>
      <c r="E1" s="393" t="s">
        <v>95</v>
      </c>
      <c r="F1" s="393" t="s">
        <v>53</v>
      </c>
      <c r="G1" s="393" t="s">
        <v>54</v>
      </c>
      <c r="H1" s="393" t="s">
        <v>94</v>
      </c>
    </row>
    <row r="2" spans="1:10" x14ac:dyDescent="0.2">
      <c r="A2" s="202" t="s">
        <v>352</v>
      </c>
      <c r="B2" s="202" t="s">
        <v>26</v>
      </c>
      <c r="C2" s="202" t="s">
        <v>368</v>
      </c>
      <c r="D2" s="202" t="s">
        <v>27</v>
      </c>
      <c r="E2" s="205">
        <v>15717781.119999999</v>
      </c>
      <c r="F2" s="205">
        <v>1493</v>
      </c>
      <c r="G2" s="205">
        <v>1234</v>
      </c>
      <c r="H2" s="205">
        <v>957</v>
      </c>
    </row>
    <row r="3" spans="1:10" x14ac:dyDescent="0.2">
      <c r="A3" s="202" t="s">
        <v>352</v>
      </c>
      <c r="B3" s="202" t="s">
        <v>26</v>
      </c>
      <c r="C3" s="202" t="s">
        <v>368</v>
      </c>
      <c r="D3" s="202" t="s">
        <v>28</v>
      </c>
      <c r="E3" s="393">
        <v>4560674.04</v>
      </c>
      <c r="F3" s="393">
        <v>519</v>
      </c>
      <c r="G3" s="393">
        <v>413</v>
      </c>
      <c r="H3" s="393">
        <v>313</v>
      </c>
      <c r="I3" s="417" t="s">
        <v>28</v>
      </c>
      <c r="J3" s="417">
        <v>1</v>
      </c>
    </row>
    <row r="4" spans="1:10" x14ac:dyDescent="0.2">
      <c r="A4" s="202" t="s">
        <v>352</v>
      </c>
      <c r="B4" s="202" t="s">
        <v>26</v>
      </c>
      <c r="C4" s="202" t="s">
        <v>368</v>
      </c>
      <c r="D4" s="202" t="s">
        <v>29</v>
      </c>
      <c r="E4" s="393">
        <v>401396.36</v>
      </c>
      <c r="F4" s="393">
        <v>77</v>
      </c>
      <c r="G4" s="393">
        <v>69</v>
      </c>
      <c r="H4" s="393">
        <v>26</v>
      </c>
      <c r="I4" s="417" t="s">
        <v>29</v>
      </c>
      <c r="J4" s="417">
        <v>2</v>
      </c>
    </row>
    <row r="5" spans="1:10" x14ac:dyDescent="0.2">
      <c r="A5" s="202" t="s">
        <v>352</v>
      </c>
      <c r="B5" s="202" t="s">
        <v>26</v>
      </c>
      <c r="C5" s="202" t="s">
        <v>368</v>
      </c>
      <c r="D5" s="202" t="s">
        <v>30</v>
      </c>
      <c r="E5" s="393">
        <v>2502806.39</v>
      </c>
      <c r="F5" s="393">
        <v>446</v>
      </c>
      <c r="G5" s="393">
        <v>356</v>
      </c>
      <c r="H5" s="393">
        <v>309</v>
      </c>
      <c r="I5" s="417" t="s">
        <v>30</v>
      </c>
      <c r="J5" s="417">
        <v>3</v>
      </c>
    </row>
    <row r="6" spans="1:10" x14ac:dyDescent="0.2">
      <c r="A6" s="202" t="s">
        <v>352</v>
      </c>
      <c r="B6" s="202" t="s">
        <v>26</v>
      </c>
      <c r="C6" s="202" t="s">
        <v>368</v>
      </c>
      <c r="D6" s="202" t="s">
        <v>31</v>
      </c>
      <c r="E6" s="393">
        <v>1135056.93</v>
      </c>
      <c r="F6" s="393">
        <v>72</v>
      </c>
      <c r="G6" s="393">
        <v>72</v>
      </c>
      <c r="H6" s="393">
        <v>52</v>
      </c>
      <c r="I6" s="417" t="s">
        <v>31</v>
      </c>
      <c r="J6" s="417">
        <v>4</v>
      </c>
    </row>
    <row r="7" spans="1:10" x14ac:dyDescent="0.2">
      <c r="A7" s="202" t="s">
        <v>352</v>
      </c>
      <c r="B7" s="202" t="s">
        <v>26</v>
      </c>
      <c r="C7" s="202" t="s">
        <v>368</v>
      </c>
      <c r="D7" s="202" t="s">
        <v>32</v>
      </c>
      <c r="E7" s="205">
        <v>52556.3</v>
      </c>
      <c r="F7" s="205">
        <v>31</v>
      </c>
      <c r="G7" s="205">
        <v>29</v>
      </c>
      <c r="H7" s="205">
        <v>2</v>
      </c>
      <c r="I7" s="206"/>
    </row>
    <row r="8" spans="1:10" x14ac:dyDescent="0.2">
      <c r="A8" s="202" t="s">
        <v>352</v>
      </c>
      <c r="B8" s="202" t="s">
        <v>26</v>
      </c>
      <c r="C8" s="202" t="s">
        <v>368</v>
      </c>
      <c r="D8" s="202" t="s">
        <v>33</v>
      </c>
      <c r="E8" s="205">
        <v>0</v>
      </c>
      <c r="F8" s="205">
        <v>0</v>
      </c>
      <c r="G8" s="205">
        <v>0</v>
      </c>
      <c r="H8" s="205">
        <v>0</v>
      </c>
      <c r="I8" s="206"/>
    </row>
    <row r="9" spans="1:10" x14ac:dyDescent="0.2">
      <c r="A9" s="202" t="s">
        <v>352</v>
      </c>
      <c r="B9" s="202" t="s">
        <v>26</v>
      </c>
      <c r="C9" s="202" t="s">
        <v>368</v>
      </c>
      <c r="D9" s="202" t="s">
        <v>34</v>
      </c>
      <c r="E9" s="205">
        <v>0</v>
      </c>
      <c r="F9" s="205">
        <v>0</v>
      </c>
      <c r="G9" s="205">
        <v>0</v>
      </c>
      <c r="H9" s="205">
        <v>0</v>
      </c>
      <c r="I9" s="206"/>
    </row>
    <row r="10" spans="1:10" x14ac:dyDescent="0.2">
      <c r="A10" s="202" t="s">
        <v>352</v>
      </c>
      <c r="B10" s="202" t="s">
        <v>26</v>
      </c>
      <c r="C10" s="202" t="s">
        <v>368</v>
      </c>
      <c r="D10" s="202" t="s">
        <v>35</v>
      </c>
      <c r="E10" s="205">
        <v>0</v>
      </c>
      <c r="F10" s="205">
        <v>0</v>
      </c>
      <c r="G10" s="205">
        <v>0</v>
      </c>
      <c r="H10" s="205">
        <v>0</v>
      </c>
      <c r="I10" s="206"/>
    </row>
    <row r="11" spans="1:10" x14ac:dyDescent="0.2">
      <c r="A11" s="202" t="s">
        <v>352</v>
      </c>
      <c r="B11" s="202" t="s">
        <v>26</v>
      </c>
      <c r="C11" s="202" t="s">
        <v>368</v>
      </c>
      <c r="D11" s="202" t="s">
        <v>36</v>
      </c>
      <c r="E11" s="205">
        <v>0</v>
      </c>
      <c r="F11" s="205">
        <v>0</v>
      </c>
      <c r="G11" s="205">
        <v>0</v>
      </c>
      <c r="H11" s="205">
        <v>0</v>
      </c>
      <c r="I11" s="206"/>
    </row>
    <row r="12" spans="1:10" x14ac:dyDescent="0.2">
      <c r="A12" s="202" t="s">
        <v>352</v>
      </c>
      <c r="B12" s="202" t="s">
        <v>26</v>
      </c>
      <c r="C12" s="202" t="s">
        <v>368</v>
      </c>
      <c r="D12" s="202" t="s">
        <v>37</v>
      </c>
      <c r="E12" s="205">
        <v>0</v>
      </c>
      <c r="F12" s="205">
        <v>0</v>
      </c>
      <c r="G12" s="205">
        <v>0</v>
      </c>
      <c r="H12" s="205">
        <v>0</v>
      </c>
      <c r="I12" s="206"/>
    </row>
    <row r="13" spans="1:10" x14ac:dyDescent="0.2">
      <c r="A13" s="202" t="s">
        <v>352</v>
      </c>
      <c r="B13" s="202" t="s">
        <v>26</v>
      </c>
      <c r="C13" s="202" t="s">
        <v>368</v>
      </c>
      <c r="D13" s="202" t="s">
        <v>26</v>
      </c>
      <c r="E13" s="205">
        <v>106312.64</v>
      </c>
      <c r="F13" s="205">
        <v>24</v>
      </c>
      <c r="G13" s="205">
        <v>11</v>
      </c>
      <c r="H13" s="205">
        <v>6</v>
      </c>
      <c r="I13" s="206"/>
    </row>
    <row r="14" spans="1:10" x14ac:dyDescent="0.2">
      <c r="A14" s="202" t="s">
        <v>352</v>
      </c>
      <c r="B14" s="202" t="s">
        <v>26</v>
      </c>
      <c r="C14" s="202" t="s">
        <v>368</v>
      </c>
      <c r="D14" s="202" t="s">
        <v>38</v>
      </c>
      <c r="E14" s="205">
        <v>0</v>
      </c>
      <c r="F14" s="205">
        <v>0</v>
      </c>
      <c r="G14" s="205">
        <v>0</v>
      </c>
      <c r="H14" s="205">
        <v>0</v>
      </c>
      <c r="I14" s="206"/>
    </row>
    <row r="15" spans="1:10" x14ac:dyDescent="0.2">
      <c r="A15" s="202" t="s">
        <v>352</v>
      </c>
      <c r="B15" s="202" t="s">
        <v>26</v>
      </c>
      <c r="C15" s="202" t="s">
        <v>368</v>
      </c>
      <c r="D15" s="202" t="s">
        <v>39</v>
      </c>
      <c r="E15" s="393">
        <v>891000</v>
      </c>
      <c r="F15" s="393">
        <v>89</v>
      </c>
      <c r="G15" s="393">
        <v>68</v>
      </c>
      <c r="H15" s="393">
        <v>60</v>
      </c>
      <c r="I15" s="213"/>
      <c r="J15" s="417">
        <v>7</v>
      </c>
    </row>
    <row r="16" spans="1:10" x14ac:dyDescent="0.2">
      <c r="A16" s="202" t="s">
        <v>352</v>
      </c>
      <c r="B16" s="202" t="s">
        <v>26</v>
      </c>
      <c r="C16" s="202" t="s">
        <v>368</v>
      </c>
      <c r="D16" s="202" t="s">
        <v>40</v>
      </c>
      <c r="E16" s="205">
        <v>120877.64</v>
      </c>
      <c r="F16" s="205">
        <v>20</v>
      </c>
      <c r="G16" s="205">
        <v>13</v>
      </c>
      <c r="H16" s="205">
        <v>10</v>
      </c>
      <c r="I16" s="206"/>
    </row>
    <row r="17" spans="1:11" x14ac:dyDescent="0.2">
      <c r="A17" s="202" t="s">
        <v>352</v>
      </c>
      <c r="B17" s="202" t="s">
        <v>26</v>
      </c>
      <c r="C17" s="202" t="s">
        <v>368</v>
      </c>
      <c r="D17" s="202" t="s">
        <v>41</v>
      </c>
      <c r="E17" s="205">
        <v>0</v>
      </c>
      <c r="F17" s="205">
        <v>0</v>
      </c>
      <c r="G17" s="205">
        <v>0</v>
      </c>
      <c r="H17" s="205">
        <v>0</v>
      </c>
      <c r="I17" s="206"/>
    </row>
    <row r="18" spans="1:11" x14ac:dyDescent="0.2">
      <c r="A18" s="202" t="s">
        <v>352</v>
      </c>
      <c r="B18" s="202" t="s">
        <v>26</v>
      </c>
      <c r="C18" s="202" t="s">
        <v>368</v>
      </c>
      <c r="D18" s="202" t="s">
        <v>42</v>
      </c>
      <c r="E18" s="205">
        <v>18571.41</v>
      </c>
      <c r="F18" s="205">
        <v>3</v>
      </c>
      <c r="G18" s="205">
        <v>4</v>
      </c>
      <c r="H18" s="205">
        <v>2</v>
      </c>
      <c r="I18" s="206"/>
    </row>
    <row r="19" spans="1:11" x14ac:dyDescent="0.2">
      <c r="A19" s="202" t="s">
        <v>352</v>
      </c>
      <c r="B19" s="202" t="s">
        <v>26</v>
      </c>
      <c r="C19" s="202" t="s">
        <v>368</v>
      </c>
      <c r="D19" s="202" t="s">
        <v>43</v>
      </c>
      <c r="E19" s="205">
        <v>0</v>
      </c>
      <c r="F19" s="205">
        <v>0</v>
      </c>
      <c r="G19" s="205">
        <v>0</v>
      </c>
      <c r="H19" s="205">
        <v>0</v>
      </c>
      <c r="I19" s="206"/>
    </row>
    <row r="20" spans="1:11" x14ac:dyDescent="0.2">
      <c r="A20" s="202" t="s">
        <v>352</v>
      </c>
      <c r="B20" s="202" t="s">
        <v>26</v>
      </c>
      <c r="C20" s="202" t="s">
        <v>368</v>
      </c>
      <c r="D20" s="202" t="s">
        <v>44</v>
      </c>
      <c r="E20" s="393">
        <v>3645000</v>
      </c>
      <c r="F20" s="393">
        <v>135</v>
      </c>
      <c r="G20" s="393">
        <v>154</v>
      </c>
      <c r="H20" s="393">
        <v>142</v>
      </c>
      <c r="I20" s="417">
        <v>19</v>
      </c>
      <c r="J20" s="417">
        <v>5</v>
      </c>
    </row>
    <row r="21" spans="1:11" x14ac:dyDescent="0.2">
      <c r="A21" s="202" t="s">
        <v>352</v>
      </c>
      <c r="B21" s="202" t="s">
        <v>26</v>
      </c>
      <c r="C21" s="202" t="s">
        <v>368</v>
      </c>
      <c r="D21" s="202" t="s">
        <v>45</v>
      </c>
      <c r="E21" s="205">
        <v>0</v>
      </c>
      <c r="F21" s="205">
        <v>0</v>
      </c>
      <c r="G21" s="205">
        <v>2</v>
      </c>
      <c r="H21" s="205">
        <v>2</v>
      </c>
      <c r="I21" s="206"/>
    </row>
    <row r="22" spans="1:11" x14ac:dyDescent="0.2">
      <c r="A22" s="202" t="s">
        <v>352</v>
      </c>
      <c r="B22" s="202" t="s">
        <v>26</v>
      </c>
      <c r="C22" s="202" t="s">
        <v>368</v>
      </c>
      <c r="D22" s="202" t="s">
        <v>46</v>
      </c>
      <c r="E22" s="393">
        <v>2283529.41</v>
      </c>
      <c r="F22" s="393">
        <v>77</v>
      </c>
      <c r="G22" s="393">
        <v>43</v>
      </c>
      <c r="H22" s="393">
        <v>35</v>
      </c>
      <c r="I22" s="417" t="s">
        <v>46</v>
      </c>
      <c r="J22" s="417">
        <v>6</v>
      </c>
    </row>
    <row r="23" spans="1:11" x14ac:dyDescent="0.2">
      <c r="A23" s="202" t="s">
        <v>352</v>
      </c>
      <c r="B23" s="202" t="s">
        <v>26</v>
      </c>
      <c r="C23" s="202" t="s">
        <v>368</v>
      </c>
      <c r="D23" s="202" t="s">
        <v>47</v>
      </c>
      <c r="E23" s="205">
        <v>0</v>
      </c>
      <c r="F23" s="205">
        <v>0</v>
      </c>
      <c r="G23" s="205">
        <v>0</v>
      </c>
      <c r="H23" s="205">
        <v>0</v>
      </c>
    </row>
    <row r="24" spans="1:11" x14ac:dyDescent="0.2">
      <c r="A24" s="202" t="s">
        <v>352</v>
      </c>
      <c r="B24" s="202" t="s">
        <v>26</v>
      </c>
      <c r="C24" s="202" t="s">
        <v>368</v>
      </c>
      <c r="D24" s="202" t="s">
        <v>48</v>
      </c>
      <c r="E24" s="205">
        <v>0</v>
      </c>
      <c r="F24" s="205">
        <v>0</v>
      </c>
      <c r="G24" s="205">
        <v>0</v>
      </c>
      <c r="H24" s="205">
        <v>0</v>
      </c>
    </row>
    <row r="25" spans="1:11" x14ac:dyDescent="0.2">
      <c r="A25" s="202" t="s">
        <v>352</v>
      </c>
      <c r="B25" s="202" t="s">
        <v>26</v>
      </c>
      <c r="C25" s="202" t="s">
        <v>368</v>
      </c>
      <c r="D25" s="202" t="s">
        <v>354</v>
      </c>
      <c r="E25" s="205">
        <v>0</v>
      </c>
      <c r="F25" s="205">
        <v>0</v>
      </c>
      <c r="G25" s="205">
        <v>0</v>
      </c>
      <c r="H25" s="205">
        <v>0</v>
      </c>
    </row>
    <row r="26" spans="1:11" x14ac:dyDescent="0.2">
      <c r="A26" s="202" t="s">
        <v>352</v>
      </c>
      <c r="B26" s="202" t="s">
        <v>26</v>
      </c>
      <c r="C26" s="202" t="s">
        <v>368</v>
      </c>
      <c r="D26" s="202" t="s">
        <v>355</v>
      </c>
      <c r="E26" s="205">
        <v>0</v>
      </c>
      <c r="F26" s="205">
        <v>0</v>
      </c>
      <c r="G26" s="205">
        <v>2</v>
      </c>
      <c r="H26" s="205">
        <v>0</v>
      </c>
    </row>
    <row r="27" spans="1:11" x14ac:dyDescent="0.2">
      <c r="A27" s="202" t="s">
        <v>352</v>
      </c>
      <c r="B27" s="202" t="s">
        <v>26</v>
      </c>
      <c r="C27" s="202" t="s">
        <v>368</v>
      </c>
      <c r="D27" s="202" t="s">
        <v>356</v>
      </c>
      <c r="E27" s="205">
        <v>0</v>
      </c>
      <c r="F27" s="205">
        <v>0</v>
      </c>
      <c r="G27" s="205">
        <v>0</v>
      </c>
      <c r="H27" s="205">
        <v>0</v>
      </c>
    </row>
    <row r="28" spans="1:11" x14ac:dyDescent="0.2">
      <c r="A28" s="254" t="s">
        <v>352</v>
      </c>
      <c r="B28" s="254" t="s">
        <v>26</v>
      </c>
      <c r="C28" s="254" t="s">
        <v>368</v>
      </c>
      <c r="D28" s="254" t="s">
        <v>357</v>
      </c>
      <c r="E28" s="255">
        <v>31435562.239999998</v>
      </c>
      <c r="F28" s="255">
        <v>2986</v>
      </c>
      <c r="G28" s="255">
        <v>2470</v>
      </c>
      <c r="H28" s="255">
        <v>1916</v>
      </c>
    </row>
    <row r="29" spans="1:11" x14ac:dyDescent="0.2">
      <c r="A29" s="202" t="s">
        <v>352</v>
      </c>
      <c r="B29" s="202" t="s">
        <v>26</v>
      </c>
      <c r="C29" s="202" t="s">
        <v>368</v>
      </c>
      <c r="D29" s="202" t="s">
        <v>49</v>
      </c>
      <c r="E29" s="205">
        <v>990</v>
      </c>
      <c r="F29" s="205">
        <v>0</v>
      </c>
      <c r="G29" s="205">
        <v>0</v>
      </c>
      <c r="H29" s="205">
        <v>0</v>
      </c>
    </row>
    <row r="30" spans="1:11" x14ac:dyDescent="0.2">
      <c r="A30" s="202" t="s">
        <v>352</v>
      </c>
      <c r="B30" s="202" t="s">
        <v>26</v>
      </c>
      <c r="C30" s="202" t="s">
        <v>368</v>
      </c>
      <c r="D30" s="202" t="s">
        <v>50</v>
      </c>
      <c r="E30" s="205">
        <v>30</v>
      </c>
      <c r="F30" s="205">
        <v>0</v>
      </c>
      <c r="G30" s="205">
        <v>0</v>
      </c>
      <c r="H30" s="205">
        <v>0</v>
      </c>
    </row>
    <row r="31" spans="1:11" x14ac:dyDescent="0.2">
      <c r="D31" s="209" t="s">
        <v>93</v>
      </c>
      <c r="E31" s="210">
        <f>SUM(E3:E6,E20,E22)</f>
        <v>14528463.130000001</v>
      </c>
      <c r="F31" s="210">
        <f>SUM(F3:F6,F20,F22)</f>
        <v>1326</v>
      </c>
      <c r="G31" s="210">
        <f>SUM(G3:G6,G20,G22)</f>
        <v>1107</v>
      </c>
      <c r="H31" s="210">
        <f>SUM(H3:H6,H20,H22)</f>
        <v>877</v>
      </c>
      <c r="I31" s="212"/>
      <c r="K31" s="393">
        <f>SUM(H31)/G31*100</f>
        <v>79.223125564588983</v>
      </c>
    </row>
    <row r="32" spans="1:11" x14ac:dyDescent="0.2">
      <c r="D32" s="418" t="s">
        <v>105</v>
      </c>
      <c r="E32" s="419">
        <f>E3+E4+E5+E6+E20+E22</f>
        <v>14528463.130000001</v>
      </c>
      <c r="I32" s="212"/>
    </row>
    <row r="33" spans="4:11" x14ac:dyDescent="0.2">
      <c r="D33" s="204"/>
      <c r="E33" s="205">
        <f>SUM(E3:E20,E22,E24:E27)</f>
        <v>15717781.120000003</v>
      </c>
      <c r="I33" s="212"/>
    </row>
    <row r="34" spans="4:11" x14ac:dyDescent="0.2">
      <c r="D34" s="209" t="s">
        <v>295</v>
      </c>
      <c r="E34" s="210">
        <f>SUM(E3:E6,E15,E20,E22)</f>
        <v>15419463.130000001</v>
      </c>
      <c r="F34" s="210">
        <f>SUM(F3:F6,F15,F20,F22)</f>
        <v>1415</v>
      </c>
      <c r="G34" s="210">
        <f>SUM(G3:G6,G15,G20,G22)</f>
        <v>1175</v>
      </c>
      <c r="H34" s="210">
        <f>SUM(H3:H6,H15,H20,H22)</f>
        <v>937</v>
      </c>
      <c r="I34" s="212"/>
      <c r="K34" s="393">
        <f>SUM(H34)/G34*100</f>
        <v>79.744680851063833</v>
      </c>
    </row>
    <row r="35" spans="4:11" x14ac:dyDescent="0.2">
      <c r="D35" s="418" t="s">
        <v>105</v>
      </c>
      <c r="E35" s="419">
        <f>E3+E4+E5+E6+E15+E20+E22</f>
        <v>15419463.130000001</v>
      </c>
      <c r="F35" s="202"/>
      <c r="G35" s="202"/>
      <c r="H35" s="202"/>
    </row>
    <row r="36" spans="4:11" x14ac:dyDescent="0.2">
      <c r="D36" s="204"/>
      <c r="E36" s="205">
        <f>SUM(E3:E20,E22,E24:E27)</f>
        <v>15717781.120000003</v>
      </c>
      <c r="F36" s="202"/>
      <c r="G36" s="202"/>
      <c r="H36" s="202"/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Arkusz38">
    <tabColor rgb="FFFF9900"/>
  </sheetPr>
  <dimension ref="A1"/>
  <sheetViews>
    <sheetView view="pageBreakPreview" zoomScale="80" zoomScaleNormal="90" zoomScaleSheetLayoutView="80" workbookViewId="0"/>
  </sheetViews>
  <sheetFormatPr defaultRowHeight="15" x14ac:dyDescent="0.25"/>
  <cols>
    <col min="1" max="16384" width="9.140625" style="9"/>
  </cols>
  <sheetData/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Arkusz39">
    <tabColor theme="9" tint="0.59999389629810485"/>
  </sheetPr>
  <dimension ref="A1:K36"/>
  <sheetViews>
    <sheetView zoomScale="80" zoomScaleNormal="80" workbookViewId="0"/>
  </sheetViews>
  <sheetFormatPr defaultRowHeight="14.25" x14ac:dyDescent="0.2"/>
  <cols>
    <col min="1" max="3" width="9.140625" style="204"/>
    <col min="4" max="4" width="9.140625" style="202"/>
    <col min="5" max="5" width="13" style="204" customWidth="1"/>
    <col min="6" max="6" width="11.85546875" style="204" customWidth="1"/>
    <col min="7" max="7" width="11.7109375" style="204" customWidth="1"/>
    <col min="8" max="8" width="11.140625" style="204" customWidth="1"/>
    <col min="9" max="10" width="5.85546875" style="204" customWidth="1"/>
    <col min="11" max="16384" width="9.140625" style="204"/>
  </cols>
  <sheetData>
    <row r="1" spans="1:10" s="394" customFormat="1" x14ac:dyDescent="0.2">
      <c r="A1" s="392" t="s">
        <v>22</v>
      </c>
      <c r="B1" s="392" t="s">
        <v>23</v>
      </c>
      <c r="C1" s="392" t="s">
        <v>24</v>
      </c>
      <c r="D1" s="392" t="s">
        <v>25</v>
      </c>
      <c r="E1" s="393" t="s">
        <v>95</v>
      </c>
      <c r="F1" s="393" t="s">
        <v>53</v>
      </c>
      <c r="G1" s="393" t="s">
        <v>54</v>
      </c>
      <c r="H1" s="393" t="s">
        <v>94</v>
      </c>
    </row>
    <row r="2" spans="1:10" x14ac:dyDescent="0.2">
      <c r="A2" s="202" t="s">
        <v>352</v>
      </c>
      <c r="B2" s="202" t="s">
        <v>26</v>
      </c>
      <c r="C2" s="202" t="s">
        <v>369</v>
      </c>
      <c r="D2" s="202" t="s">
        <v>27</v>
      </c>
      <c r="E2" s="205">
        <v>17271470.510000002</v>
      </c>
      <c r="F2" s="205">
        <v>1539</v>
      </c>
      <c r="G2" s="205">
        <v>1275</v>
      </c>
      <c r="H2" s="205">
        <v>1015</v>
      </c>
    </row>
    <row r="3" spans="1:10" x14ac:dyDescent="0.2">
      <c r="A3" s="202" t="s">
        <v>352</v>
      </c>
      <c r="B3" s="202" t="s">
        <v>26</v>
      </c>
      <c r="C3" s="202" t="s">
        <v>369</v>
      </c>
      <c r="D3" s="202" t="s">
        <v>28</v>
      </c>
      <c r="E3" s="393">
        <v>6852488.4100000001</v>
      </c>
      <c r="F3" s="393">
        <v>746</v>
      </c>
      <c r="G3" s="393">
        <v>564</v>
      </c>
      <c r="H3" s="393">
        <v>440</v>
      </c>
      <c r="I3" s="417" t="s">
        <v>28</v>
      </c>
      <c r="J3" s="417">
        <v>1</v>
      </c>
    </row>
    <row r="4" spans="1:10" x14ac:dyDescent="0.2">
      <c r="A4" s="202" t="s">
        <v>352</v>
      </c>
      <c r="B4" s="202" t="s">
        <v>26</v>
      </c>
      <c r="C4" s="202" t="s">
        <v>369</v>
      </c>
      <c r="D4" s="202" t="s">
        <v>29</v>
      </c>
      <c r="E4" s="393">
        <v>242673.45</v>
      </c>
      <c r="F4" s="393">
        <v>52</v>
      </c>
      <c r="G4" s="393">
        <v>51</v>
      </c>
      <c r="H4" s="393">
        <v>29</v>
      </c>
      <c r="I4" s="417" t="s">
        <v>29</v>
      </c>
      <c r="J4" s="417">
        <v>2</v>
      </c>
    </row>
    <row r="5" spans="1:10" x14ac:dyDescent="0.2">
      <c r="A5" s="202" t="s">
        <v>352</v>
      </c>
      <c r="B5" s="202" t="s">
        <v>26</v>
      </c>
      <c r="C5" s="202" t="s">
        <v>369</v>
      </c>
      <c r="D5" s="202" t="s">
        <v>30</v>
      </c>
      <c r="E5" s="393">
        <v>2588388.77</v>
      </c>
      <c r="F5" s="393">
        <v>372</v>
      </c>
      <c r="G5" s="393">
        <v>297</v>
      </c>
      <c r="H5" s="393">
        <v>266</v>
      </c>
      <c r="I5" s="417" t="s">
        <v>30</v>
      </c>
      <c r="J5" s="417">
        <v>3</v>
      </c>
    </row>
    <row r="6" spans="1:10" x14ac:dyDescent="0.2">
      <c r="A6" s="202" t="s">
        <v>352</v>
      </c>
      <c r="B6" s="202" t="s">
        <v>26</v>
      </c>
      <c r="C6" s="202" t="s">
        <v>369</v>
      </c>
      <c r="D6" s="202" t="s">
        <v>31</v>
      </c>
      <c r="E6" s="393">
        <v>3167528.15</v>
      </c>
      <c r="F6" s="393">
        <v>159</v>
      </c>
      <c r="G6" s="393">
        <v>157</v>
      </c>
      <c r="H6" s="393">
        <v>139</v>
      </c>
      <c r="I6" s="417" t="s">
        <v>31</v>
      </c>
      <c r="J6" s="417">
        <v>4</v>
      </c>
    </row>
    <row r="7" spans="1:10" x14ac:dyDescent="0.2">
      <c r="A7" s="202" t="s">
        <v>352</v>
      </c>
      <c r="B7" s="202" t="s">
        <v>26</v>
      </c>
      <c r="C7" s="202" t="s">
        <v>369</v>
      </c>
      <c r="D7" s="202" t="s">
        <v>32</v>
      </c>
      <c r="E7" s="205">
        <v>53253.599999999999</v>
      </c>
      <c r="F7" s="205">
        <v>51</v>
      </c>
      <c r="G7" s="205">
        <v>42</v>
      </c>
      <c r="H7" s="205">
        <v>2</v>
      </c>
      <c r="I7" s="206"/>
    </row>
    <row r="8" spans="1:10" x14ac:dyDescent="0.2">
      <c r="A8" s="202" t="s">
        <v>352</v>
      </c>
      <c r="B8" s="202" t="s">
        <v>26</v>
      </c>
      <c r="C8" s="202" t="s">
        <v>369</v>
      </c>
      <c r="D8" s="202" t="s">
        <v>33</v>
      </c>
      <c r="E8" s="205">
        <v>0</v>
      </c>
      <c r="F8" s="205">
        <v>0</v>
      </c>
      <c r="G8" s="205">
        <v>0</v>
      </c>
      <c r="H8" s="205">
        <v>0</v>
      </c>
      <c r="I8" s="206"/>
    </row>
    <row r="9" spans="1:10" x14ac:dyDescent="0.2">
      <c r="A9" s="202" t="s">
        <v>352</v>
      </c>
      <c r="B9" s="202" t="s">
        <v>26</v>
      </c>
      <c r="C9" s="202" t="s">
        <v>369</v>
      </c>
      <c r="D9" s="202" t="s">
        <v>34</v>
      </c>
      <c r="E9" s="205">
        <v>0</v>
      </c>
      <c r="F9" s="205">
        <v>0</v>
      </c>
      <c r="G9" s="205">
        <v>0</v>
      </c>
      <c r="H9" s="205">
        <v>0</v>
      </c>
      <c r="I9" s="206"/>
    </row>
    <row r="10" spans="1:10" x14ac:dyDescent="0.2">
      <c r="A10" s="202" t="s">
        <v>352</v>
      </c>
      <c r="B10" s="202" t="s">
        <v>26</v>
      </c>
      <c r="C10" s="202" t="s">
        <v>369</v>
      </c>
      <c r="D10" s="202" t="s">
        <v>35</v>
      </c>
      <c r="E10" s="205">
        <v>0</v>
      </c>
      <c r="F10" s="205">
        <v>0</v>
      </c>
      <c r="G10" s="205">
        <v>0</v>
      </c>
      <c r="H10" s="205">
        <v>0</v>
      </c>
      <c r="I10" s="206"/>
    </row>
    <row r="11" spans="1:10" x14ac:dyDescent="0.2">
      <c r="A11" s="202" t="s">
        <v>352</v>
      </c>
      <c r="B11" s="202" t="s">
        <v>26</v>
      </c>
      <c r="C11" s="202" t="s">
        <v>369</v>
      </c>
      <c r="D11" s="202" t="s">
        <v>36</v>
      </c>
      <c r="E11" s="205">
        <v>0</v>
      </c>
      <c r="F11" s="205">
        <v>0</v>
      </c>
      <c r="G11" s="205">
        <v>0</v>
      </c>
      <c r="H11" s="205">
        <v>0</v>
      </c>
      <c r="I11" s="206"/>
    </row>
    <row r="12" spans="1:10" x14ac:dyDescent="0.2">
      <c r="A12" s="202" t="s">
        <v>352</v>
      </c>
      <c r="B12" s="202" t="s">
        <v>26</v>
      </c>
      <c r="C12" s="202" t="s">
        <v>369</v>
      </c>
      <c r="D12" s="202" t="s">
        <v>37</v>
      </c>
      <c r="E12" s="205">
        <v>0</v>
      </c>
      <c r="F12" s="205">
        <v>0</v>
      </c>
      <c r="G12" s="205">
        <v>0</v>
      </c>
      <c r="H12" s="205">
        <v>0</v>
      </c>
      <c r="I12" s="206"/>
    </row>
    <row r="13" spans="1:10" x14ac:dyDescent="0.2">
      <c r="A13" s="202" t="s">
        <v>352</v>
      </c>
      <c r="B13" s="202" t="s">
        <v>26</v>
      </c>
      <c r="C13" s="202" t="s">
        <v>369</v>
      </c>
      <c r="D13" s="202" t="s">
        <v>26</v>
      </c>
      <c r="E13" s="205">
        <v>39672.67</v>
      </c>
      <c r="F13" s="205">
        <v>9</v>
      </c>
      <c r="G13" s="205">
        <v>2</v>
      </c>
      <c r="H13" s="205">
        <v>2</v>
      </c>
      <c r="I13" s="206"/>
    </row>
    <row r="14" spans="1:10" x14ac:dyDescent="0.2">
      <c r="A14" s="202" t="s">
        <v>352</v>
      </c>
      <c r="B14" s="202" t="s">
        <v>26</v>
      </c>
      <c r="C14" s="202" t="s">
        <v>369</v>
      </c>
      <c r="D14" s="202" t="s">
        <v>38</v>
      </c>
      <c r="E14" s="205">
        <v>0</v>
      </c>
      <c r="F14" s="205">
        <v>0</v>
      </c>
      <c r="G14" s="205">
        <v>0</v>
      </c>
      <c r="H14" s="205">
        <v>0</v>
      </c>
      <c r="I14" s="206"/>
    </row>
    <row r="15" spans="1:10" x14ac:dyDescent="0.2">
      <c r="A15" s="202" t="s">
        <v>352</v>
      </c>
      <c r="B15" s="202" t="s">
        <v>26</v>
      </c>
      <c r="C15" s="202" t="s">
        <v>369</v>
      </c>
      <c r="D15" s="202" t="s">
        <v>39</v>
      </c>
      <c r="E15" s="393">
        <v>209000</v>
      </c>
      <c r="F15" s="393">
        <v>19</v>
      </c>
      <c r="G15" s="393">
        <v>28</v>
      </c>
      <c r="H15" s="393">
        <v>23</v>
      </c>
      <c r="I15" s="213"/>
      <c r="J15" s="417">
        <v>7</v>
      </c>
    </row>
    <row r="16" spans="1:10" x14ac:dyDescent="0.2">
      <c r="A16" s="202" t="s">
        <v>352</v>
      </c>
      <c r="B16" s="202" t="s">
        <v>26</v>
      </c>
      <c r="C16" s="202" t="s">
        <v>369</v>
      </c>
      <c r="D16" s="202" t="s">
        <v>40</v>
      </c>
      <c r="E16" s="205">
        <v>0</v>
      </c>
      <c r="F16" s="205">
        <v>0</v>
      </c>
      <c r="G16" s="205">
        <v>0</v>
      </c>
      <c r="H16" s="205">
        <v>0</v>
      </c>
      <c r="I16" s="206"/>
    </row>
    <row r="17" spans="1:11" x14ac:dyDescent="0.2">
      <c r="A17" s="202" t="s">
        <v>352</v>
      </c>
      <c r="B17" s="202" t="s">
        <v>26</v>
      </c>
      <c r="C17" s="202" t="s">
        <v>369</v>
      </c>
      <c r="D17" s="202" t="s">
        <v>41</v>
      </c>
      <c r="E17" s="205">
        <v>0</v>
      </c>
      <c r="F17" s="205">
        <v>0</v>
      </c>
      <c r="G17" s="205">
        <v>0</v>
      </c>
      <c r="H17" s="205">
        <v>0</v>
      </c>
      <c r="I17" s="206"/>
    </row>
    <row r="18" spans="1:11" x14ac:dyDescent="0.2">
      <c r="A18" s="202" t="s">
        <v>352</v>
      </c>
      <c r="B18" s="202" t="s">
        <v>26</v>
      </c>
      <c r="C18" s="202" t="s">
        <v>369</v>
      </c>
      <c r="D18" s="202" t="s">
        <v>42</v>
      </c>
      <c r="E18" s="205">
        <v>0</v>
      </c>
      <c r="F18" s="205">
        <v>0</v>
      </c>
      <c r="G18" s="205">
        <v>0</v>
      </c>
      <c r="H18" s="205">
        <v>0</v>
      </c>
      <c r="I18" s="206"/>
    </row>
    <row r="19" spans="1:11" x14ac:dyDescent="0.2">
      <c r="A19" s="202" t="s">
        <v>352</v>
      </c>
      <c r="B19" s="202" t="s">
        <v>26</v>
      </c>
      <c r="C19" s="202" t="s">
        <v>369</v>
      </c>
      <c r="D19" s="202" t="s">
        <v>43</v>
      </c>
      <c r="E19" s="205">
        <v>0</v>
      </c>
      <c r="F19" s="205">
        <v>0</v>
      </c>
      <c r="G19" s="205">
        <v>0</v>
      </c>
      <c r="H19" s="205">
        <v>0</v>
      </c>
      <c r="I19" s="206"/>
    </row>
    <row r="20" spans="1:11" x14ac:dyDescent="0.2">
      <c r="A20" s="202" t="s">
        <v>352</v>
      </c>
      <c r="B20" s="202" t="s">
        <v>26</v>
      </c>
      <c r="C20" s="202" t="s">
        <v>369</v>
      </c>
      <c r="D20" s="202" t="s">
        <v>44</v>
      </c>
      <c r="E20" s="393">
        <v>2344608.83</v>
      </c>
      <c r="F20" s="393">
        <v>75</v>
      </c>
      <c r="G20" s="393">
        <v>78</v>
      </c>
      <c r="H20" s="393">
        <v>71</v>
      </c>
      <c r="I20" s="417">
        <v>19</v>
      </c>
      <c r="J20" s="417">
        <v>5</v>
      </c>
    </row>
    <row r="21" spans="1:11" x14ac:dyDescent="0.2">
      <c r="A21" s="202" t="s">
        <v>352</v>
      </c>
      <c r="B21" s="202" t="s">
        <v>26</v>
      </c>
      <c r="C21" s="202" t="s">
        <v>369</v>
      </c>
      <c r="D21" s="202" t="s">
        <v>45</v>
      </c>
      <c r="E21" s="205">
        <v>0</v>
      </c>
      <c r="F21" s="205">
        <v>0</v>
      </c>
      <c r="G21" s="205">
        <v>0</v>
      </c>
      <c r="H21" s="205">
        <v>0</v>
      </c>
      <c r="I21" s="206"/>
    </row>
    <row r="22" spans="1:11" x14ac:dyDescent="0.2">
      <c r="A22" s="202" t="s">
        <v>352</v>
      </c>
      <c r="B22" s="202" t="s">
        <v>26</v>
      </c>
      <c r="C22" s="202" t="s">
        <v>369</v>
      </c>
      <c r="D22" s="202" t="s">
        <v>46</v>
      </c>
      <c r="E22" s="393">
        <v>1773856.63</v>
      </c>
      <c r="F22" s="393">
        <v>56</v>
      </c>
      <c r="G22" s="393">
        <v>56</v>
      </c>
      <c r="H22" s="393">
        <v>43</v>
      </c>
      <c r="I22" s="417" t="s">
        <v>46</v>
      </c>
      <c r="J22" s="417">
        <v>6</v>
      </c>
    </row>
    <row r="23" spans="1:11" x14ac:dyDescent="0.2">
      <c r="A23" s="202" t="s">
        <v>352</v>
      </c>
      <c r="B23" s="202" t="s">
        <v>26</v>
      </c>
      <c r="C23" s="202" t="s">
        <v>369</v>
      </c>
      <c r="D23" s="202" t="s">
        <v>47</v>
      </c>
      <c r="E23" s="205">
        <v>0</v>
      </c>
      <c r="F23" s="205">
        <v>0</v>
      </c>
      <c r="G23" s="205">
        <v>0</v>
      </c>
      <c r="H23" s="205">
        <v>0</v>
      </c>
    </row>
    <row r="24" spans="1:11" x14ac:dyDescent="0.2">
      <c r="A24" s="202" t="s">
        <v>352</v>
      </c>
      <c r="B24" s="202" t="s">
        <v>26</v>
      </c>
      <c r="C24" s="202" t="s">
        <v>369</v>
      </c>
      <c r="D24" s="202" t="s">
        <v>48</v>
      </c>
      <c r="E24" s="205">
        <v>0</v>
      </c>
      <c r="F24" s="205">
        <v>0</v>
      </c>
      <c r="G24" s="205">
        <v>0</v>
      </c>
      <c r="H24" s="205">
        <v>0</v>
      </c>
    </row>
    <row r="25" spans="1:11" x14ac:dyDescent="0.2">
      <c r="A25" s="202" t="s">
        <v>352</v>
      </c>
      <c r="B25" s="202" t="s">
        <v>26</v>
      </c>
      <c r="C25" s="202" t="s">
        <v>369</v>
      </c>
      <c r="D25" s="202" t="s">
        <v>354</v>
      </c>
      <c r="E25" s="205">
        <v>0</v>
      </c>
      <c r="F25" s="205">
        <v>0</v>
      </c>
      <c r="G25" s="205">
        <v>0</v>
      </c>
      <c r="H25" s="205">
        <v>0</v>
      </c>
    </row>
    <row r="26" spans="1:11" x14ac:dyDescent="0.2">
      <c r="A26" s="202" t="s">
        <v>352</v>
      </c>
      <c r="B26" s="202" t="s">
        <v>26</v>
      </c>
      <c r="C26" s="202" t="s">
        <v>369</v>
      </c>
      <c r="D26" s="202" t="s">
        <v>355</v>
      </c>
      <c r="E26" s="205">
        <v>0</v>
      </c>
      <c r="F26" s="205">
        <v>0</v>
      </c>
      <c r="G26" s="205">
        <v>0</v>
      </c>
      <c r="H26" s="205">
        <v>0</v>
      </c>
    </row>
    <row r="27" spans="1:11" x14ac:dyDescent="0.2">
      <c r="A27" s="202" t="s">
        <v>352</v>
      </c>
      <c r="B27" s="202" t="s">
        <v>26</v>
      </c>
      <c r="C27" s="202" t="s">
        <v>369</v>
      </c>
      <c r="D27" s="202" t="s">
        <v>356</v>
      </c>
      <c r="E27" s="205">
        <v>0</v>
      </c>
      <c r="F27" s="205">
        <v>0</v>
      </c>
      <c r="G27" s="205">
        <v>0</v>
      </c>
      <c r="H27" s="205">
        <v>0</v>
      </c>
    </row>
    <row r="28" spans="1:11" x14ac:dyDescent="0.2">
      <c r="A28" s="254" t="s">
        <v>352</v>
      </c>
      <c r="B28" s="254" t="s">
        <v>26</v>
      </c>
      <c r="C28" s="254" t="s">
        <v>369</v>
      </c>
      <c r="D28" s="254" t="s">
        <v>357</v>
      </c>
      <c r="E28" s="255">
        <v>34542941.020000003</v>
      </c>
      <c r="F28" s="255">
        <v>3078</v>
      </c>
      <c r="G28" s="255">
        <v>2550</v>
      </c>
      <c r="H28" s="255">
        <v>2030</v>
      </c>
    </row>
    <row r="29" spans="1:11" x14ac:dyDescent="0.2">
      <c r="A29" s="202" t="s">
        <v>352</v>
      </c>
      <c r="B29" s="202" t="s">
        <v>26</v>
      </c>
      <c r="C29" s="202" t="s">
        <v>369</v>
      </c>
      <c r="D29" s="202" t="s">
        <v>49</v>
      </c>
      <c r="E29" s="205">
        <v>1200</v>
      </c>
      <c r="F29" s="205">
        <v>0</v>
      </c>
      <c r="G29" s="205">
        <v>0</v>
      </c>
      <c r="H29" s="205">
        <v>0</v>
      </c>
    </row>
    <row r="30" spans="1:11" x14ac:dyDescent="0.2">
      <c r="A30" s="202" t="s">
        <v>352</v>
      </c>
      <c r="B30" s="202" t="s">
        <v>26</v>
      </c>
      <c r="C30" s="202" t="s">
        <v>369</v>
      </c>
      <c r="D30" s="202" t="s">
        <v>50</v>
      </c>
      <c r="E30" s="205">
        <v>60</v>
      </c>
      <c r="F30" s="205">
        <v>0</v>
      </c>
      <c r="G30" s="205">
        <v>0</v>
      </c>
      <c r="H30" s="205">
        <v>0</v>
      </c>
    </row>
    <row r="31" spans="1:11" x14ac:dyDescent="0.2">
      <c r="D31" s="209" t="s">
        <v>93</v>
      </c>
      <c r="E31" s="210">
        <f>SUM(E3:E6,E20,E22)</f>
        <v>16969544.240000002</v>
      </c>
      <c r="F31" s="210">
        <f>SUM(F3:F6,F20,F22)</f>
        <v>1460</v>
      </c>
      <c r="G31" s="210">
        <f>SUM(G3:G6,G20,G22)</f>
        <v>1203</v>
      </c>
      <c r="H31" s="210">
        <f>SUM(H3:H6,H20,H22)</f>
        <v>988</v>
      </c>
      <c r="I31" s="212"/>
      <c r="K31" s="393">
        <f>SUM(H31)/G31*100</f>
        <v>82.128013300083126</v>
      </c>
    </row>
    <row r="32" spans="1:11" x14ac:dyDescent="0.2">
      <c r="D32" s="418" t="s">
        <v>105</v>
      </c>
      <c r="E32" s="419">
        <f>E3+E4+E5+E6+E20+E22</f>
        <v>16969544.240000002</v>
      </c>
      <c r="I32" s="212"/>
    </row>
    <row r="33" spans="4:11" x14ac:dyDescent="0.2">
      <c r="D33" s="204"/>
      <c r="E33" s="205">
        <f>SUM(E3:E20,E22,E24:E27)</f>
        <v>17271470.510000002</v>
      </c>
      <c r="I33" s="212"/>
    </row>
    <row r="34" spans="4:11" x14ac:dyDescent="0.2">
      <c r="D34" s="209" t="s">
        <v>295</v>
      </c>
      <c r="E34" s="210">
        <f>SUM(E3:E6,E15,E20,E22)</f>
        <v>17178544.240000002</v>
      </c>
      <c r="F34" s="210">
        <f>SUM(F3:F6,F15,F20,F22)</f>
        <v>1479</v>
      </c>
      <c r="G34" s="210">
        <f>SUM(G3:G6,G15,G20,G22)</f>
        <v>1231</v>
      </c>
      <c r="H34" s="210">
        <f>SUM(H3:H6,H15,H20,H22)</f>
        <v>1011</v>
      </c>
      <c r="I34" s="212"/>
      <c r="K34" s="393">
        <f>SUM(H34)/G34*100</f>
        <v>82.12835093419983</v>
      </c>
    </row>
    <row r="35" spans="4:11" x14ac:dyDescent="0.2">
      <c r="D35" s="418" t="s">
        <v>105</v>
      </c>
      <c r="E35" s="419">
        <f>E3+E4+E5+E6+E15+E20+E22</f>
        <v>17178544.240000002</v>
      </c>
      <c r="F35" s="202"/>
      <c r="G35" s="202"/>
      <c r="H35" s="202"/>
    </row>
    <row r="36" spans="4:11" x14ac:dyDescent="0.2">
      <c r="D36" s="204"/>
      <c r="E36" s="205">
        <f>SUM(E3:E20,E22,E24:E27)</f>
        <v>17271470.510000002</v>
      </c>
      <c r="F36" s="202"/>
      <c r="G36" s="202"/>
      <c r="H36" s="20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B1:K42"/>
  <sheetViews>
    <sheetView zoomScale="90" zoomScaleNormal="90" workbookViewId="0">
      <selection activeCell="B1" sqref="B1"/>
    </sheetView>
  </sheetViews>
  <sheetFormatPr defaultRowHeight="14.25" x14ac:dyDescent="0.2"/>
  <cols>
    <col min="1" max="1" width="1.85546875" style="117" customWidth="1"/>
    <col min="2" max="2" width="8" style="117" customWidth="1"/>
    <col min="3" max="3" width="62.5703125" style="117" customWidth="1"/>
    <col min="4" max="4" width="11.7109375" style="117" customWidth="1"/>
    <col min="5" max="5" width="10.85546875" style="117" customWidth="1"/>
    <col min="6" max="6" width="11.140625" style="117" customWidth="1"/>
    <col min="7" max="7" width="15" style="117" customWidth="1"/>
    <col min="8" max="8" width="16.28515625" style="117" customWidth="1"/>
    <col min="9" max="9" width="10.85546875" style="117" customWidth="1"/>
    <col min="10" max="10" width="13.5703125" style="117" customWidth="1"/>
    <col min="11" max="11" width="15" style="117" customWidth="1"/>
    <col min="12" max="12" width="4" style="117" customWidth="1"/>
    <col min="13" max="16384" width="9.140625" style="117"/>
  </cols>
  <sheetData>
    <row r="1" spans="2:11" ht="15.75" thickBot="1" x14ac:dyDescent="0.25">
      <c r="B1" s="230" t="s">
        <v>280</v>
      </c>
      <c r="E1" s="147"/>
      <c r="G1" s="416" t="s">
        <v>269</v>
      </c>
      <c r="H1" s="572" t="s">
        <v>266</v>
      </c>
      <c r="I1" s="118"/>
      <c r="J1" s="118"/>
    </row>
    <row r="2" spans="2:11" x14ac:dyDescent="0.2">
      <c r="B2" s="315"/>
      <c r="C2" s="610" t="s">
        <v>323</v>
      </c>
      <c r="D2" s="316"/>
      <c r="E2" s="317"/>
      <c r="F2" s="318"/>
      <c r="G2" s="316"/>
      <c r="H2" s="318"/>
      <c r="I2" s="316"/>
      <c r="J2" s="316"/>
      <c r="K2" s="319"/>
    </row>
    <row r="3" spans="2:11" ht="63" customHeight="1" x14ac:dyDescent="0.2">
      <c r="B3" s="320"/>
      <c r="C3" s="611"/>
      <c r="D3" s="321" t="s">
        <v>108</v>
      </c>
      <c r="E3" s="322" t="s">
        <v>109</v>
      </c>
      <c r="F3" s="323" t="s">
        <v>110</v>
      </c>
      <c r="G3" s="324" t="s">
        <v>111</v>
      </c>
      <c r="H3" s="323" t="s">
        <v>270</v>
      </c>
      <c r="I3" s="321" t="s">
        <v>167</v>
      </c>
      <c r="J3" s="325" t="s">
        <v>164</v>
      </c>
      <c r="K3" s="326" t="s">
        <v>112</v>
      </c>
    </row>
    <row r="4" spans="2:11" x14ac:dyDescent="0.2">
      <c r="B4" s="327" t="s">
        <v>106</v>
      </c>
      <c r="C4" s="611"/>
      <c r="D4" s="321"/>
      <c r="E4" s="322"/>
      <c r="F4" s="323"/>
      <c r="G4" s="321"/>
      <c r="H4" s="323"/>
      <c r="I4" s="321"/>
      <c r="J4" s="328"/>
      <c r="K4" s="326"/>
    </row>
    <row r="5" spans="2:11" ht="15" thickBot="1" x14ac:dyDescent="0.25">
      <c r="B5" s="329"/>
      <c r="C5" s="612"/>
      <c r="D5" s="330"/>
      <c r="E5" s="331"/>
      <c r="F5" s="332"/>
      <c r="G5" s="330"/>
      <c r="H5" s="332"/>
      <c r="I5" s="330"/>
      <c r="J5" s="330"/>
      <c r="K5" s="333"/>
    </row>
    <row r="6" spans="2:11" ht="15" customHeight="1" x14ac:dyDescent="0.2">
      <c r="B6" s="131">
        <v>1</v>
      </c>
      <c r="C6" s="132" t="s">
        <v>2</v>
      </c>
      <c r="D6" s="133">
        <f>SUM('z17'!F6)</f>
        <v>2120</v>
      </c>
      <c r="E6" s="134">
        <f>SUM('z17'!G6)</f>
        <v>1847</v>
      </c>
      <c r="F6" s="135">
        <f>SUM('z17'!H6)</f>
        <v>1191</v>
      </c>
      <c r="G6" s="136">
        <f>SUM(F6/E6)*100</f>
        <v>64.48294531672984</v>
      </c>
      <c r="H6" s="137">
        <f>SUM(J6/F6)</f>
        <v>5189.4206549118389</v>
      </c>
      <c r="I6" s="136">
        <f>SUM('z17'!E6)</f>
        <v>6180.6</v>
      </c>
      <c r="J6" s="133">
        <f>SUM(I6*1000)</f>
        <v>6180600</v>
      </c>
      <c r="K6" s="138">
        <f>SUM(J6/D6)</f>
        <v>2915.3773584905662</v>
      </c>
    </row>
    <row r="7" spans="2:11" ht="12" customHeight="1" x14ac:dyDescent="0.2">
      <c r="B7" s="119">
        <v>2</v>
      </c>
      <c r="C7" s="120" t="s">
        <v>1</v>
      </c>
      <c r="D7" s="121">
        <f>SUM('z17'!F5)</f>
        <v>15808</v>
      </c>
      <c r="E7" s="122">
        <f>SUM('z17'!G5)</f>
        <v>11017</v>
      </c>
      <c r="F7" s="123">
        <f>SUM('z17'!H5)</f>
        <v>9307</v>
      </c>
      <c r="G7" s="124">
        <f t="shared" ref="G7:G11" si="0">SUM(F7/E7)*100</f>
        <v>84.478533176000724</v>
      </c>
      <c r="H7" s="125">
        <f t="shared" ref="H7:H11" si="1">SUM(J7/F7)</f>
        <v>9304.3193295369092</v>
      </c>
      <c r="I7" s="124">
        <f>SUM('z17'!E5)</f>
        <v>86595.300000000017</v>
      </c>
      <c r="J7" s="121">
        <f t="shared" ref="J7:J11" si="2">SUM(I7*1000)</f>
        <v>86595300.000000015</v>
      </c>
      <c r="K7" s="126">
        <f>SUM(J7/D7)</f>
        <v>5477.9415485829968</v>
      </c>
    </row>
    <row r="8" spans="2:11" ht="15.75" customHeight="1" x14ac:dyDescent="0.2">
      <c r="B8" s="119">
        <v>3</v>
      </c>
      <c r="C8" s="120" t="s">
        <v>3</v>
      </c>
      <c r="D8" s="121">
        <f>SUM('z17'!F7)</f>
        <v>5479</v>
      </c>
      <c r="E8" s="122">
        <f>SUM('z17'!G7)</f>
        <v>3520</v>
      </c>
      <c r="F8" s="123">
        <f>SUM('z17'!H7)</f>
        <v>3187</v>
      </c>
      <c r="G8" s="124">
        <f t="shared" si="0"/>
        <v>90.539772727272734</v>
      </c>
      <c r="H8" s="125">
        <f t="shared" si="1"/>
        <v>7203.4201443363663</v>
      </c>
      <c r="I8" s="124">
        <f>SUM('z17'!E7)</f>
        <v>22957.3</v>
      </c>
      <c r="J8" s="121">
        <f t="shared" si="2"/>
        <v>22957300</v>
      </c>
      <c r="K8" s="126">
        <f>SUM(J8/D8)</f>
        <v>4190.0529293666732</v>
      </c>
    </row>
    <row r="9" spans="2:11" ht="14.25" customHeight="1" x14ac:dyDescent="0.2">
      <c r="B9" s="119">
        <v>4</v>
      </c>
      <c r="C9" s="120" t="s">
        <v>4</v>
      </c>
      <c r="D9" s="121">
        <f>SUM('z17'!F8)</f>
        <v>2740</v>
      </c>
      <c r="E9" s="122">
        <f>SUM('z17'!G8)</f>
        <v>2360</v>
      </c>
      <c r="F9" s="123">
        <f>SUM('z17'!H8)</f>
        <v>2165</v>
      </c>
      <c r="G9" s="124">
        <f t="shared" si="0"/>
        <v>91.737288135593218</v>
      </c>
      <c r="H9" s="125">
        <f t="shared" si="1"/>
        <v>12613.256351039257</v>
      </c>
      <c r="I9" s="124">
        <f>SUM('z17'!E8)</f>
        <v>27307.699999999993</v>
      </c>
      <c r="J9" s="121">
        <f t="shared" si="2"/>
        <v>27307699.999999993</v>
      </c>
      <c r="K9" s="126">
        <f t="shared" ref="K9:K11" si="3">SUM(J9/D9)</f>
        <v>9966.3138686131351</v>
      </c>
    </row>
    <row r="10" spans="2:11" ht="17.25" customHeight="1" x14ac:dyDescent="0.2">
      <c r="B10" s="119">
        <v>5</v>
      </c>
      <c r="C10" s="120" t="s">
        <v>58</v>
      </c>
      <c r="D10" s="121">
        <f>SUM('z17'!F22)</f>
        <v>2671</v>
      </c>
      <c r="E10" s="122">
        <f>SUM('z17'!G22)</f>
        <v>3056</v>
      </c>
      <c r="F10" s="123">
        <f>SUM('z17'!H22)</f>
        <v>2913</v>
      </c>
      <c r="G10" s="124">
        <f t="shared" si="0"/>
        <v>95.320680628272243</v>
      </c>
      <c r="H10" s="125">
        <f t="shared" si="1"/>
        <v>19416.065911431513</v>
      </c>
      <c r="I10" s="124">
        <f>SUM('z17'!E22)</f>
        <v>56559</v>
      </c>
      <c r="J10" s="121">
        <f t="shared" si="2"/>
        <v>56559000</v>
      </c>
      <c r="K10" s="126">
        <f t="shared" si="3"/>
        <v>21175.215275177838</v>
      </c>
    </row>
    <row r="11" spans="2:11" ht="16.5" customHeight="1" x14ac:dyDescent="0.2">
      <c r="B11" s="139">
        <v>6</v>
      </c>
      <c r="C11" s="140" t="s">
        <v>59</v>
      </c>
      <c r="D11" s="141">
        <f>SUM('z17'!F24)</f>
        <v>2345</v>
      </c>
      <c r="E11" s="142">
        <f>SUM('z17'!G24)</f>
        <v>2931</v>
      </c>
      <c r="F11" s="143">
        <f>SUM('z17'!H24)</f>
        <v>2540</v>
      </c>
      <c r="G11" s="144">
        <f t="shared" si="0"/>
        <v>86.659843056977138</v>
      </c>
      <c r="H11" s="145">
        <f t="shared" si="1"/>
        <v>19452.204724409446</v>
      </c>
      <c r="I11" s="144">
        <f>SUM('z17'!E24)</f>
        <v>49408.599999999991</v>
      </c>
      <c r="J11" s="141">
        <f t="shared" si="2"/>
        <v>49408599.999999993</v>
      </c>
      <c r="K11" s="146">
        <f t="shared" si="3"/>
        <v>21069.765458422171</v>
      </c>
    </row>
    <row r="12" spans="2:11" ht="16.5" customHeight="1" thickBot="1" x14ac:dyDescent="0.25">
      <c r="B12" s="139">
        <v>7</v>
      </c>
      <c r="C12" s="140" t="s">
        <v>11</v>
      </c>
      <c r="D12" s="141">
        <f>SUM('z17'!F17)</f>
        <v>1389</v>
      </c>
      <c r="E12" s="142">
        <f>SUM('z17'!G17)</f>
        <v>1138</v>
      </c>
      <c r="F12" s="143">
        <f>SUM('z17'!H17)</f>
        <v>1044</v>
      </c>
      <c r="G12" s="144">
        <f>SUM(F12/E12)*100</f>
        <v>91.739894551845353</v>
      </c>
      <c r="H12" s="145">
        <f>SUM(J12/F12)</f>
        <v>9927.7777777777756</v>
      </c>
      <c r="I12" s="144">
        <f>SUM('z17'!E17)</f>
        <v>10364.599999999999</v>
      </c>
      <c r="J12" s="141">
        <f>SUM(I12*1000)</f>
        <v>10364599.999999998</v>
      </c>
      <c r="K12" s="146">
        <f>SUM(J12/D12)</f>
        <v>7461.9150467962554</v>
      </c>
    </row>
    <row r="13" spans="2:11" ht="15" thickBot="1" x14ac:dyDescent="0.25">
      <c r="B13" s="334">
        <v>8</v>
      </c>
      <c r="C13" s="335" t="s">
        <v>305</v>
      </c>
      <c r="D13" s="336">
        <f>SUM(D6:D11)</f>
        <v>31163</v>
      </c>
      <c r="E13" s="337">
        <f>SUM(E6:E11)</f>
        <v>24731</v>
      </c>
      <c r="F13" s="338">
        <f>SUM(F6:F11)</f>
        <v>21303</v>
      </c>
      <c r="G13" s="339">
        <f>SUM(F13/E13)*100</f>
        <v>86.138854069790952</v>
      </c>
      <c r="H13" s="340">
        <f>SUM(J13/F13)</f>
        <v>11688.893583063418</v>
      </c>
      <c r="I13" s="339">
        <f>SUM(I6:I11)</f>
        <v>249008.5</v>
      </c>
      <c r="J13" s="336">
        <f>SUM(I13*1000)</f>
        <v>249008500</v>
      </c>
      <c r="K13" s="344">
        <f>SUM(J13/D13)</f>
        <v>7990.5176010011874</v>
      </c>
    </row>
    <row r="14" spans="2:11" ht="15" thickBot="1" x14ac:dyDescent="0.25">
      <c r="B14" s="334">
        <v>9</v>
      </c>
      <c r="C14" s="335" t="s">
        <v>309</v>
      </c>
      <c r="D14" s="336">
        <f>SUM(D6:D12)</f>
        <v>32552</v>
      </c>
      <c r="E14" s="337">
        <f>SUM(E6:E12)</f>
        <v>25869</v>
      </c>
      <c r="F14" s="338">
        <f>SUM(F6:F12)</f>
        <v>22347</v>
      </c>
      <c r="G14" s="339">
        <f>SUM(F14/E14)*100</f>
        <v>86.38524875333411</v>
      </c>
      <c r="H14" s="340">
        <f>SUM(J14/F14)</f>
        <v>11606.618338031951</v>
      </c>
      <c r="I14" s="339">
        <f>SUM(I6:I12)</f>
        <v>259373.1</v>
      </c>
      <c r="J14" s="336">
        <f>SUM(I14*1000)</f>
        <v>259373100</v>
      </c>
      <c r="K14" s="342">
        <f>SUM(J14/D14)</f>
        <v>7967.9620299827966</v>
      </c>
    </row>
    <row r="16" spans="2:11" x14ac:dyDescent="0.2">
      <c r="I16" s="129"/>
      <c r="J16" s="128"/>
    </row>
    <row r="17" spans="6:10" x14ac:dyDescent="0.2">
      <c r="I17" s="129"/>
      <c r="J17" s="130"/>
    </row>
    <row r="22" spans="6:10" ht="15" x14ac:dyDescent="0.2">
      <c r="F22" s="148"/>
    </row>
    <row r="23" spans="6:10" x14ac:dyDescent="0.2">
      <c r="F23" s="127"/>
    </row>
    <row r="24" spans="6:10" x14ac:dyDescent="0.2">
      <c r="F24" s="127"/>
    </row>
    <row r="40" spans="6:6" ht="15" x14ac:dyDescent="0.2">
      <c r="F40" s="148"/>
    </row>
    <row r="41" spans="6:6" x14ac:dyDescent="0.2">
      <c r="F41" s="127"/>
    </row>
    <row r="42" spans="6:6" x14ac:dyDescent="0.2">
      <c r="F42" s="127"/>
    </row>
  </sheetData>
  <mergeCells count="1">
    <mergeCell ref="C2:C5"/>
  </mergeCells>
  <pageMargins left="0.7" right="0.7" top="0.75" bottom="0.75" header="0.3" footer="0.3"/>
  <pageSetup paperSize="9" scale="74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Arkusz40">
    <tabColor theme="9" tint="0.59999389629810485"/>
  </sheetPr>
  <dimension ref="A1:K36"/>
  <sheetViews>
    <sheetView zoomScale="80" zoomScaleNormal="80" workbookViewId="0"/>
  </sheetViews>
  <sheetFormatPr defaultRowHeight="14.25" x14ac:dyDescent="0.2"/>
  <cols>
    <col min="1" max="3" width="9.140625" style="204"/>
    <col min="4" max="4" width="9.140625" style="202"/>
    <col min="5" max="5" width="14" style="204" customWidth="1"/>
    <col min="6" max="6" width="11.85546875" style="204" customWidth="1"/>
    <col min="7" max="7" width="11.7109375" style="204" customWidth="1"/>
    <col min="8" max="8" width="11.140625" style="204" customWidth="1"/>
    <col min="9" max="10" width="5.85546875" style="204" customWidth="1"/>
    <col min="11" max="11" width="14" style="204" customWidth="1"/>
    <col min="12" max="16384" width="9.140625" style="204"/>
  </cols>
  <sheetData>
    <row r="1" spans="1:10" s="394" customFormat="1" x14ac:dyDescent="0.2">
      <c r="A1" s="392" t="s">
        <v>22</v>
      </c>
      <c r="B1" s="392" t="s">
        <v>23</v>
      </c>
      <c r="C1" s="392" t="s">
        <v>24</v>
      </c>
      <c r="D1" s="392" t="s">
        <v>25</v>
      </c>
      <c r="E1" s="393" t="s">
        <v>95</v>
      </c>
      <c r="F1" s="393" t="s">
        <v>53</v>
      </c>
      <c r="G1" s="393" t="s">
        <v>54</v>
      </c>
      <c r="H1" s="393" t="s">
        <v>94</v>
      </c>
    </row>
    <row r="2" spans="1:10" x14ac:dyDescent="0.2">
      <c r="A2" s="202" t="s">
        <v>352</v>
      </c>
      <c r="B2" s="202" t="s">
        <v>26</v>
      </c>
      <c r="C2" s="202" t="s">
        <v>370</v>
      </c>
      <c r="D2" s="202" t="s">
        <v>27</v>
      </c>
      <c r="E2" s="205">
        <v>13237674.84</v>
      </c>
      <c r="F2" s="205">
        <v>1167</v>
      </c>
      <c r="G2" s="205">
        <v>860</v>
      </c>
      <c r="H2" s="205">
        <v>710</v>
      </c>
    </row>
    <row r="3" spans="1:10" x14ac:dyDescent="0.2">
      <c r="A3" s="202" t="s">
        <v>352</v>
      </c>
      <c r="B3" s="202" t="s">
        <v>26</v>
      </c>
      <c r="C3" s="202" t="s">
        <v>370</v>
      </c>
      <c r="D3" s="202" t="s">
        <v>28</v>
      </c>
      <c r="E3" s="393">
        <v>3177333.97</v>
      </c>
      <c r="F3" s="393">
        <v>441</v>
      </c>
      <c r="G3" s="393">
        <v>306</v>
      </c>
      <c r="H3" s="393">
        <v>246</v>
      </c>
      <c r="I3" s="417" t="s">
        <v>28</v>
      </c>
      <c r="J3" s="417">
        <v>1</v>
      </c>
    </row>
    <row r="4" spans="1:10" x14ac:dyDescent="0.2">
      <c r="A4" s="202" t="s">
        <v>352</v>
      </c>
      <c r="B4" s="202" t="s">
        <v>26</v>
      </c>
      <c r="C4" s="202" t="s">
        <v>370</v>
      </c>
      <c r="D4" s="202" t="s">
        <v>29</v>
      </c>
      <c r="E4" s="393">
        <v>138736.93</v>
      </c>
      <c r="F4" s="393">
        <v>20</v>
      </c>
      <c r="G4" s="393">
        <v>22</v>
      </c>
      <c r="H4" s="393">
        <v>17</v>
      </c>
      <c r="I4" s="417" t="s">
        <v>29</v>
      </c>
      <c r="J4" s="417">
        <v>2</v>
      </c>
    </row>
    <row r="5" spans="1:10" x14ac:dyDescent="0.2">
      <c r="A5" s="202" t="s">
        <v>352</v>
      </c>
      <c r="B5" s="202" t="s">
        <v>26</v>
      </c>
      <c r="C5" s="202" t="s">
        <v>370</v>
      </c>
      <c r="D5" s="202" t="s">
        <v>30</v>
      </c>
      <c r="E5" s="393">
        <v>1128160.3700000001</v>
      </c>
      <c r="F5" s="393">
        <v>208</v>
      </c>
      <c r="G5" s="393">
        <v>132</v>
      </c>
      <c r="H5" s="393">
        <v>108</v>
      </c>
      <c r="I5" s="417" t="s">
        <v>30</v>
      </c>
      <c r="J5" s="417">
        <v>3</v>
      </c>
    </row>
    <row r="6" spans="1:10" x14ac:dyDescent="0.2">
      <c r="A6" s="202" t="s">
        <v>352</v>
      </c>
      <c r="B6" s="202" t="s">
        <v>26</v>
      </c>
      <c r="C6" s="202" t="s">
        <v>370</v>
      </c>
      <c r="D6" s="202" t="s">
        <v>31</v>
      </c>
      <c r="E6" s="393">
        <v>1339279.18</v>
      </c>
      <c r="F6" s="393">
        <v>92</v>
      </c>
      <c r="G6" s="393">
        <v>71</v>
      </c>
      <c r="H6" s="393">
        <v>66</v>
      </c>
      <c r="I6" s="417" t="s">
        <v>31</v>
      </c>
      <c r="J6" s="417">
        <v>4</v>
      </c>
    </row>
    <row r="7" spans="1:10" x14ac:dyDescent="0.2">
      <c r="A7" s="202" t="s">
        <v>352</v>
      </c>
      <c r="B7" s="202" t="s">
        <v>26</v>
      </c>
      <c r="C7" s="202" t="s">
        <v>370</v>
      </c>
      <c r="D7" s="202" t="s">
        <v>32</v>
      </c>
      <c r="E7" s="205">
        <v>7914</v>
      </c>
      <c r="F7" s="205">
        <v>5</v>
      </c>
      <c r="G7" s="205">
        <v>4</v>
      </c>
      <c r="H7" s="205">
        <v>1</v>
      </c>
      <c r="I7" s="206"/>
    </row>
    <row r="8" spans="1:10" x14ac:dyDescent="0.2">
      <c r="A8" s="202" t="s">
        <v>352</v>
      </c>
      <c r="B8" s="202" t="s">
        <v>26</v>
      </c>
      <c r="C8" s="202" t="s">
        <v>370</v>
      </c>
      <c r="D8" s="202" t="s">
        <v>33</v>
      </c>
      <c r="E8" s="205">
        <v>0</v>
      </c>
      <c r="F8" s="205">
        <v>0</v>
      </c>
      <c r="G8" s="205">
        <v>0</v>
      </c>
      <c r="H8" s="205">
        <v>0</v>
      </c>
      <c r="I8" s="206"/>
    </row>
    <row r="9" spans="1:10" x14ac:dyDescent="0.2">
      <c r="A9" s="202" t="s">
        <v>352</v>
      </c>
      <c r="B9" s="202" t="s">
        <v>26</v>
      </c>
      <c r="C9" s="202" t="s">
        <v>370</v>
      </c>
      <c r="D9" s="202" t="s">
        <v>34</v>
      </c>
      <c r="E9" s="205">
        <v>33522.559999999998</v>
      </c>
      <c r="F9" s="205">
        <v>4</v>
      </c>
      <c r="G9" s="205">
        <v>2</v>
      </c>
      <c r="H9" s="205">
        <v>2</v>
      </c>
      <c r="I9" s="206"/>
    </row>
    <row r="10" spans="1:10" x14ac:dyDescent="0.2">
      <c r="A10" s="202" t="s">
        <v>352</v>
      </c>
      <c r="B10" s="202" t="s">
        <v>26</v>
      </c>
      <c r="C10" s="202" t="s">
        <v>370</v>
      </c>
      <c r="D10" s="202" t="s">
        <v>35</v>
      </c>
      <c r="E10" s="205">
        <v>0</v>
      </c>
      <c r="F10" s="205">
        <v>0</v>
      </c>
      <c r="G10" s="205">
        <v>0</v>
      </c>
      <c r="H10" s="205">
        <v>0</v>
      </c>
      <c r="I10" s="206"/>
    </row>
    <row r="11" spans="1:10" x14ac:dyDescent="0.2">
      <c r="A11" s="202" t="s">
        <v>352</v>
      </c>
      <c r="B11" s="202" t="s">
        <v>26</v>
      </c>
      <c r="C11" s="202" t="s">
        <v>370</v>
      </c>
      <c r="D11" s="202" t="s">
        <v>36</v>
      </c>
      <c r="E11" s="205">
        <v>0</v>
      </c>
      <c r="F11" s="205">
        <v>0</v>
      </c>
      <c r="G11" s="205">
        <v>0</v>
      </c>
      <c r="H11" s="205">
        <v>0</v>
      </c>
      <c r="I11" s="206"/>
    </row>
    <row r="12" spans="1:10" x14ac:dyDescent="0.2">
      <c r="A12" s="202" t="s">
        <v>352</v>
      </c>
      <c r="B12" s="202" t="s">
        <v>26</v>
      </c>
      <c r="C12" s="202" t="s">
        <v>370</v>
      </c>
      <c r="D12" s="202" t="s">
        <v>37</v>
      </c>
      <c r="E12" s="205">
        <v>0</v>
      </c>
      <c r="F12" s="205">
        <v>0</v>
      </c>
      <c r="G12" s="205">
        <v>0</v>
      </c>
      <c r="H12" s="205">
        <v>0</v>
      </c>
      <c r="I12" s="206"/>
    </row>
    <row r="13" spans="1:10" x14ac:dyDescent="0.2">
      <c r="A13" s="202" t="s">
        <v>352</v>
      </c>
      <c r="B13" s="202" t="s">
        <v>26</v>
      </c>
      <c r="C13" s="202" t="s">
        <v>370</v>
      </c>
      <c r="D13" s="202" t="s">
        <v>26</v>
      </c>
      <c r="E13" s="205">
        <v>93735.02</v>
      </c>
      <c r="F13" s="205">
        <v>25</v>
      </c>
      <c r="G13" s="205">
        <v>6</v>
      </c>
      <c r="H13" s="205">
        <v>6</v>
      </c>
      <c r="I13" s="206"/>
    </row>
    <row r="14" spans="1:10" x14ac:dyDescent="0.2">
      <c r="A14" s="202" t="s">
        <v>352</v>
      </c>
      <c r="B14" s="202" t="s">
        <v>26</v>
      </c>
      <c r="C14" s="202" t="s">
        <v>370</v>
      </c>
      <c r="D14" s="202" t="s">
        <v>38</v>
      </c>
      <c r="E14" s="205">
        <v>740817.31</v>
      </c>
      <c r="F14" s="205">
        <v>117</v>
      </c>
      <c r="G14" s="205">
        <v>73</v>
      </c>
      <c r="H14" s="205">
        <v>51</v>
      </c>
      <c r="I14" s="206"/>
    </row>
    <row r="15" spans="1:10" x14ac:dyDescent="0.2">
      <c r="A15" s="202" t="s">
        <v>352</v>
      </c>
      <c r="B15" s="202" t="s">
        <v>26</v>
      </c>
      <c r="C15" s="202" t="s">
        <v>370</v>
      </c>
      <c r="D15" s="202" t="s">
        <v>39</v>
      </c>
      <c r="E15" s="393">
        <v>106000</v>
      </c>
      <c r="F15" s="393">
        <v>15</v>
      </c>
      <c r="G15" s="393">
        <v>21</v>
      </c>
      <c r="H15" s="393">
        <v>18</v>
      </c>
      <c r="I15" s="213"/>
      <c r="J15" s="417">
        <v>7</v>
      </c>
    </row>
    <row r="16" spans="1:10" x14ac:dyDescent="0.2">
      <c r="A16" s="202" t="s">
        <v>352</v>
      </c>
      <c r="B16" s="202" t="s">
        <v>26</v>
      </c>
      <c r="C16" s="202" t="s">
        <v>370</v>
      </c>
      <c r="D16" s="202" t="s">
        <v>40</v>
      </c>
      <c r="E16" s="205">
        <v>82595.72</v>
      </c>
      <c r="F16" s="205">
        <v>11</v>
      </c>
      <c r="G16" s="205">
        <v>7</v>
      </c>
      <c r="H16" s="205">
        <v>5</v>
      </c>
      <c r="I16" s="206"/>
    </row>
    <row r="17" spans="1:11" x14ac:dyDescent="0.2">
      <c r="A17" s="202" t="s">
        <v>352</v>
      </c>
      <c r="B17" s="202" t="s">
        <v>26</v>
      </c>
      <c r="C17" s="202" t="s">
        <v>370</v>
      </c>
      <c r="D17" s="202" t="s">
        <v>41</v>
      </c>
      <c r="E17" s="205">
        <v>0</v>
      </c>
      <c r="F17" s="205">
        <v>0</v>
      </c>
      <c r="G17" s="205">
        <v>0</v>
      </c>
      <c r="H17" s="205">
        <v>0</v>
      </c>
      <c r="I17" s="206"/>
    </row>
    <row r="18" spans="1:11" x14ac:dyDescent="0.2">
      <c r="A18" s="202" t="s">
        <v>352</v>
      </c>
      <c r="B18" s="202" t="s">
        <v>26</v>
      </c>
      <c r="C18" s="202" t="s">
        <v>370</v>
      </c>
      <c r="D18" s="202" t="s">
        <v>42</v>
      </c>
      <c r="E18" s="205">
        <v>0</v>
      </c>
      <c r="F18" s="205">
        <v>0</v>
      </c>
      <c r="G18" s="205">
        <v>0</v>
      </c>
      <c r="H18" s="205">
        <v>0</v>
      </c>
      <c r="I18" s="206"/>
    </row>
    <row r="19" spans="1:11" x14ac:dyDescent="0.2">
      <c r="A19" s="202" t="s">
        <v>352</v>
      </c>
      <c r="B19" s="202" t="s">
        <v>26</v>
      </c>
      <c r="C19" s="202" t="s">
        <v>370</v>
      </c>
      <c r="D19" s="202" t="s">
        <v>43</v>
      </c>
      <c r="E19" s="205">
        <v>0</v>
      </c>
      <c r="F19" s="205">
        <v>0</v>
      </c>
      <c r="G19" s="205">
        <v>0</v>
      </c>
      <c r="H19" s="205">
        <v>0</v>
      </c>
      <c r="I19" s="206"/>
    </row>
    <row r="20" spans="1:11" x14ac:dyDescent="0.2">
      <c r="A20" s="202" t="s">
        <v>352</v>
      </c>
      <c r="B20" s="202" t="s">
        <v>26</v>
      </c>
      <c r="C20" s="202" t="s">
        <v>370</v>
      </c>
      <c r="D20" s="202" t="s">
        <v>44</v>
      </c>
      <c r="E20" s="393">
        <v>3407498.82</v>
      </c>
      <c r="F20" s="393">
        <v>128</v>
      </c>
      <c r="G20" s="393">
        <v>127</v>
      </c>
      <c r="H20" s="393">
        <v>117</v>
      </c>
      <c r="I20" s="417">
        <v>19</v>
      </c>
      <c r="J20" s="417">
        <v>5</v>
      </c>
    </row>
    <row r="21" spans="1:11" x14ac:dyDescent="0.2">
      <c r="A21" s="202" t="s">
        <v>352</v>
      </c>
      <c r="B21" s="202" t="s">
        <v>26</v>
      </c>
      <c r="C21" s="202" t="s">
        <v>370</v>
      </c>
      <c r="D21" s="202" t="s">
        <v>45</v>
      </c>
      <c r="E21" s="205">
        <v>0</v>
      </c>
      <c r="F21" s="205">
        <v>0</v>
      </c>
      <c r="G21" s="205">
        <v>0</v>
      </c>
      <c r="H21" s="205">
        <v>0</v>
      </c>
      <c r="I21" s="206"/>
    </row>
    <row r="22" spans="1:11" x14ac:dyDescent="0.2">
      <c r="A22" s="202" t="s">
        <v>352</v>
      </c>
      <c r="B22" s="202" t="s">
        <v>26</v>
      </c>
      <c r="C22" s="202" t="s">
        <v>370</v>
      </c>
      <c r="D22" s="202" t="s">
        <v>46</v>
      </c>
      <c r="E22" s="393">
        <v>2982080.96</v>
      </c>
      <c r="F22" s="393">
        <v>101</v>
      </c>
      <c r="G22" s="393">
        <v>89</v>
      </c>
      <c r="H22" s="393">
        <v>73</v>
      </c>
      <c r="I22" s="417" t="s">
        <v>46</v>
      </c>
      <c r="J22" s="417">
        <v>6</v>
      </c>
    </row>
    <row r="23" spans="1:11" x14ac:dyDescent="0.2">
      <c r="A23" s="202" t="s">
        <v>352</v>
      </c>
      <c r="B23" s="202" t="s">
        <v>26</v>
      </c>
      <c r="C23" s="202" t="s">
        <v>370</v>
      </c>
      <c r="D23" s="202" t="s">
        <v>47</v>
      </c>
      <c r="E23" s="205">
        <v>0</v>
      </c>
      <c r="F23" s="205">
        <v>0</v>
      </c>
      <c r="G23" s="205">
        <v>0</v>
      </c>
      <c r="H23" s="205">
        <v>0</v>
      </c>
    </row>
    <row r="24" spans="1:11" x14ac:dyDescent="0.2">
      <c r="A24" s="202" t="s">
        <v>352</v>
      </c>
      <c r="B24" s="202" t="s">
        <v>26</v>
      </c>
      <c r="C24" s="202" t="s">
        <v>370</v>
      </c>
      <c r="D24" s="202" t="s">
        <v>48</v>
      </c>
      <c r="E24" s="205">
        <v>0</v>
      </c>
      <c r="F24" s="205">
        <v>0</v>
      </c>
      <c r="G24" s="205">
        <v>0</v>
      </c>
      <c r="H24" s="205">
        <v>0</v>
      </c>
    </row>
    <row r="25" spans="1:11" x14ac:dyDescent="0.2">
      <c r="A25" s="202" t="s">
        <v>352</v>
      </c>
      <c r="B25" s="202" t="s">
        <v>26</v>
      </c>
      <c r="C25" s="202" t="s">
        <v>370</v>
      </c>
      <c r="D25" s="202" t="s">
        <v>354</v>
      </c>
      <c r="E25" s="205">
        <v>0</v>
      </c>
      <c r="F25" s="205">
        <v>0</v>
      </c>
      <c r="G25" s="205">
        <v>0</v>
      </c>
      <c r="H25" s="205">
        <v>0</v>
      </c>
    </row>
    <row r="26" spans="1:11" x14ac:dyDescent="0.2">
      <c r="A26" s="202" t="s">
        <v>352</v>
      </c>
      <c r="B26" s="202" t="s">
        <v>26</v>
      </c>
      <c r="C26" s="202" t="s">
        <v>370</v>
      </c>
      <c r="D26" s="202" t="s">
        <v>355</v>
      </c>
      <c r="E26" s="205">
        <v>0</v>
      </c>
      <c r="F26" s="205">
        <v>0</v>
      </c>
      <c r="G26" s="205">
        <v>0</v>
      </c>
      <c r="H26" s="205">
        <v>0</v>
      </c>
    </row>
    <row r="27" spans="1:11" x14ac:dyDescent="0.2">
      <c r="A27" s="202" t="s">
        <v>352</v>
      </c>
      <c r="B27" s="202" t="s">
        <v>26</v>
      </c>
      <c r="C27" s="202" t="s">
        <v>370</v>
      </c>
      <c r="D27" s="202" t="s">
        <v>356</v>
      </c>
      <c r="E27" s="205">
        <v>0</v>
      </c>
      <c r="F27" s="205">
        <v>0</v>
      </c>
      <c r="G27" s="205">
        <v>0</v>
      </c>
      <c r="H27" s="205">
        <v>0</v>
      </c>
    </row>
    <row r="28" spans="1:11" x14ac:dyDescent="0.2">
      <c r="A28" s="254" t="s">
        <v>352</v>
      </c>
      <c r="B28" s="254" t="s">
        <v>26</v>
      </c>
      <c r="C28" s="254" t="s">
        <v>370</v>
      </c>
      <c r="D28" s="254" t="s">
        <v>357</v>
      </c>
      <c r="E28" s="255">
        <v>26475349.68</v>
      </c>
      <c r="F28" s="255">
        <v>2334</v>
      </c>
      <c r="G28" s="255">
        <v>1720</v>
      </c>
      <c r="H28" s="255">
        <v>1420</v>
      </c>
    </row>
    <row r="29" spans="1:11" x14ac:dyDescent="0.2">
      <c r="A29" s="202" t="s">
        <v>352</v>
      </c>
      <c r="B29" s="202" t="s">
        <v>26</v>
      </c>
      <c r="C29" s="202" t="s">
        <v>370</v>
      </c>
      <c r="D29" s="202" t="s">
        <v>49</v>
      </c>
      <c r="E29" s="205">
        <v>240</v>
      </c>
      <c r="F29" s="205">
        <v>0</v>
      </c>
      <c r="G29" s="205">
        <v>0</v>
      </c>
      <c r="H29" s="205">
        <v>0</v>
      </c>
    </row>
    <row r="30" spans="1:11" x14ac:dyDescent="0.2">
      <c r="A30" s="202" t="s">
        <v>352</v>
      </c>
      <c r="B30" s="202" t="s">
        <v>26</v>
      </c>
      <c r="C30" s="202" t="s">
        <v>370</v>
      </c>
      <c r="D30" s="202" t="s">
        <v>50</v>
      </c>
      <c r="E30" s="205">
        <v>70</v>
      </c>
      <c r="F30" s="205">
        <v>0</v>
      </c>
      <c r="G30" s="205">
        <v>0</v>
      </c>
      <c r="H30" s="205">
        <v>0</v>
      </c>
    </row>
    <row r="31" spans="1:11" x14ac:dyDescent="0.2">
      <c r="D31" s="209" t="s">
        <v>93</v>
      </c>
      <c r="E31" s="210">
        <f>SUM(E3:E6,E20,E22)</f>
        <v>12173090.23</v>
      </c>
      <c r="F31" s="210">
        <f>SUM(F3:F6,F20,F22)</f>
        <v>990</v>
      </c>
      <c r="G31" s="210">
        <f>SUM(G3:G6,G20,G22)</f>
        <v>747</v>
      </c>
      <c r="H31" s="210">
        <f>SUM(H3:H6,H20,H22)</f>
        <v>627</v>
      </c>
      <c r="I31" s="212"/>
      <c r="K31" s="393">
        <f>SUM(H31)/G31*100</f>
        <v>83.935742971887549</v>
      </c>
    </row>
    <row r="32" spans="1:11" x14ac:dyDescent="0.2">
      <c r="D32" s="418" t="s">
        <v>105</v>
      </c>
      <c r="E32" s="419">
        <f>E3+E4+E5+E6+E20+E22</f>
        <v>12173090.23</v>
      </c>
      <c r="I32" s="212"/>
    </row>
    <row r="33" spans="4:11" x14ac:dyDescent="0.2">
      <c r="D33" s="204"/>
      <c r="E33" s="205">
        <f>SUM(E3:E20,E22,E24:E27)</f>
        <v>13237674.84</v>
      </c>
      <c r="I33" s="212"/>
    </row>
    <row r="34" spans="4:11" x14ac:dyDescent="0.2">
      <c r="D34" s="209" t="s">
        <v>295</v>
      </c>
      <c r="E34" s="210">
        <f>SUM(E3:E6,E15,E20,E22)</f>
        <v>12279090.23</v>
      </c>
      <c r="F34" s="210">
        <f>SUM(F3:F6,F15,F20,F22)</f>
        <v>1005</v>
      </c>
      <c r="G34" s="210">
        <f>SUM(G3:G6,G15,G20,G22)</f>
        <v>768</v>
      </c>
      <c r="H34" s="210">
        <f>SUM(H3:H6,H15,H20,H22)</f>
        <v>645</v>
      </c>
      <c r="I34" s="212"/>
      <c r="K34" s="393">
        <f>SUM(H34)/G34*100</f>
        <v>83.984375</v>
      </c>
    </row>
    <row r="35" spans="4:11" x14ac:dyDescent="0.2">
      <c r="D35" s="418" t="s">
        <v>105</v>
      </c>
      <c r="E35" s="419">
        <f>E3+E4+E5+E6+E15+E20+E22</f>
        <v>12279090.23</v>
      </c>
      <c r="F35" s="202"/>
      <c r="G35" s="202"/>
      <c r="H35" s="202"/>
    </row>
    <row r="36" spans="4:11" x14ac:dyDescent="0.2">
      <c r="D36" s="204"/>
      <c r="E36" s="205">
        <f>SUM(E3:E20,E22,E24:E27)</f>
        <v>13237674.84</v>
      </c>
      <c r="F36" s="202"/>
      <c r="G36" s="202"/>
      <c r="H36" s="20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Arkusz49">
    <tabColor rgb="FFFF9900"/>
  </sheetPr>
  <dimension ref="A1"/>
  <sheetViews>
    <sheetView zoomScale="80" zoomScaleNormal="80" workbookViewId="0"/>
  </sheetViews>
  <sheetFormatPr defaultRowHeight="15" x14ac:dyDescent="0.25"/>
  <cols>
    <col min="1" max="16384" width="9.140625" style="777"/>
  </cols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Arkusz42">
    <tabColor theme="9" tint="0.59999389629810485"/>
  </sheetPr>
  <dimension ref="A1:K36"/>
  <sheetViews>
    <sheetView zoomScale="80" zoomScaleNormal="80" workbookViewId="0"/>
  </sheetViews>
  <sheetFormatPr defaultRowHeight="14.25" x14ac:dyDescent="0.2"/>
  <cols>
    <col min="1" max="3" width="9.140625" style="204"/>
    <col min="4" max="4" width="9.140625" style="202"/>
    <col min="5" max="5" width="13.7109375" style="204" customWidth="1"/>
    <col min="6" max="6" width="11.85546875" style="204" customWidth="1"/>
    <col min="7" max="7" width="11.7109375" style="204" customWidth="1"/>
    <col min="8" max="8" width="11.140625" style="204" customWidth="1"/>
    <col min="9" max="10" width="5.85546875" style="204" customWidth="1"/>
    <col min="11" max="16384" width="9.140625" style="204"/>
  </cols>
  <sheetData>
    <row r="1" spans="1:10" s="394" customFormat="1" x14ac:dyDescent="0.2">
      <c r="A1" s="392" t="s">
        <v>22</v>
      </c>
      <c r="B1" s="392" t="s">
        <v>23</v>
      </c>
      <c r="C1" s="392" t="s">
        <v>24</v>
      </c>
      <c r="D1" s="392" t="s">
        <v>25</v>
      </c>
      <c r="E1" s="393" t="s">
        <v>95</v>
      </c>
      <c r="F1" s="393" t="s">
        <v>53</v>
      </c>
      <c r="G1" s="393" t="s">
        <v>54</v>
      </c>
      <c r="H1" s="393" t="s">
        <v>94</v>
      </c>
    </row>
    <row r="2" spans="1:10" x14ac:dyDescent="0.2">
      <c r="A2" s="202" t="s">
        <v>352</v>
      </c>
      <c r="B2" s="202" t="s">
        <v>26</v>
      </c>
      <c r="C2" s="202" t="s">
        <v>371</v>
      </c>
      <c r="D2" s="202" t="s">
        <v>27</v>
      </c>
      <c r="E2" s="205">
        <v>10318505.15</v>
      </c>
      <c r="F2" s="205">
        <v>1018</v>
      </c>
      <c r="G2" s="205">
        <v>770</v>
      </c>
      <c r="H2" s="205">
        <v>659</v>
      </c>
    </row>
    <row r="3" spans="1:10" x14ac:dyDescent="0.2">
      <c r="A3" s="202" t="s">
        <v>352</v>
      </c>
      <c r="B3" s="202" t="s">
        <v>26</v>
      </c>
      <c r="C3" s="202" t="s">
        <v>371</v>
      </c>
      <c r="D3" s="202" t="s">
        <v>28</v>
      </c>
      <c r="E3" s="393">
        <v>1972547.17</v>
      </c>
      <c r="F3" s="393">
        <v>288</v>
      </c>
      <c r="G3" s="393">
        <v>187</v>
      </c>
      <c r="H3" s="393">
        <v>160</v>
      </c>
      <c r="I3" s="417" t="s">
        <v>28</v>
      </c>
      <c r="J3" s="417">
        <v>1</v>
      </c>
    </row>
    <row r="4" spans="1:10" x14ac:dyDescent="0.2">
      <c r="A4" s="202" t="s">
        <v>352</v>
      </c>
      <c r="B4" s="202" t="s">
        <v>26</v>
      </c>
      <c r="C4" s="202" t="s">
        <v>371</v>
      </c>
      <c r="D4" s="202" t="s">
        <v>29</v>
      </c>
      <c r="E4" s="393">
        <v>562053.99</v>
      </c>
      <c r="F4" s="393">
        <v>129</v>
      </c>
      <c r="G4" s="393">
        <v>120</v>
      </c>
      <c r="H4" s="393">
        <v>67</v>
      </c>
      <c r="I4" s="417" t="s">
        <v>29</v>
      </c>
      <c r="J4" s="417">
        <v>2</v>
      </c>
    </row>
    <row r="5" spans="1:10" x14ac:dyDescent="0.2">
      <c r="A5" s="202" t="s">
        <v>352</v>
      </c>
      <c r="B5" s="202" t="s">
        <v>26</v>
      </c>
      <c r="C5" s="202" t="s">
        <v>371</v>
      </c>
      <c r="D5" s="202" t="s">
        <v>30</v>
      </c>
      <c r="E5" s="393">
        <v>1313806.43</v>
      </c>
      <c r="F5" s="393">
        <v>271</v>
      </c>
      <c r="G5" s="393">
        <v>192</v>
      </c>
      <c r="H5" s="393">
        <v>180</v>
      </c>
      <c r="I5" s="417" t="s">
        <v>30</v>
      </c>
      <c r="J5" s="417">
        <v>3</v>
      </c>
    </row>
    <row r="6" spans="1:10" x14ac:dyDescent="0.2">
      <c r="A6" s="202" t="s">
        <v>352</v>
      </c>
      <c r="B6" s="202" t="s">
        <v>26</v>
      </c>
      <c r="C6" s="202" t="s">
        <v>371</v>
      </c>
      <c r="D6" s="202" t="s">
        <v>31</v>
      </c>
      <c r="E6" s="393">
        <v>190016.68</v>
      </c>
      <c r="F6" s="393">
        <v>20</v>
      </c>
      <c r="G6" s="393">
        <v>19</v>
      </c>
      <c r="H6" s="393">
        <v>19</v>
      </c>
      <c r="I6" s="417" t="s">
        <v>31</v>
      </c>
      <c r="J6" s="417">
        <v>4</v>
      </c>
    </row>
    <row r="7" spans="1:10" x14ac:dyDescent="0.2">
      <c r="A7" s="202" t="s">
        <v>352</v>
      </c>
      <c r="B7" s="202" t="s">
        <v>26</v>
      </c>
      <c r="C7" s="202" t="s">
        <v>371</v>
      </c>
      <c r="D7" s="202" t="s">
        <v>32</v>
      </c>
      <c r="E7" s="205">
        <v>8249</v>
      </c>
      <c r="F7" s="205">
        <v>7</v>
      </c>
      <c r="G7" s="205">
        <v>6</v>
      </c>
      <c r="H7" s="205">
        <v>0</v>
      </c>
      <c r="I7" s="206"/>
    </row>
    <row r="8" spans="1:10" x14ac:dyDescent="0.2">
      <c r="A8" s="202" t="s">
        <v>352</v>
      </c>
      <c r="B8" s="202" t="s">
        <v>26</v>
      </c>
      <c r="C8" s="202" t="s">
        <v>371</v>
      </c>
      <c r="D8" s="202" t="s">
        <v>33</v>
      </c>
      <c r="E8" s="205">
        <v>0</v>
      </c>
      <c r="F8" s="205">
        <v>0</v>
      </c>
      <c r="G8" s="205">
        <v>0</v>
      </c>
      <c r="H8" s="205">
        <v>0</v>
      </c>
      <c r="I8" s="206"/>
    </row>
    <row r="9" spans="1:10" x14ac:dyDescent="0.2">
      <c r="A9" s="202" t="s">
        <v>352</v>
      </c>
      <c r="B9" s="202" t="s">
        <v>26</v>
      </c>
      <c r="C9" s="202" t="s">
        <v>371</v>
      </c>
      <c r="D9" s="202" t="s">
        <v>34</v>
      </c>
      <c r="E9" s="205">
        <v>0</v>
      </c>
      <c r="F9" s="205">
        <v>0</v>
      </c>
      <c r="G9" s="205">
        <v>0</v>
      </c>
      <c r="H9" s="205">
        <v>0</v>
      </c>
      <c r="I9" s="206"/>
    </row>
    <row r="10" spans="1:10" x14ac:dyDescent="0.2">
      <c r="A10" s="202" t="s">
        <v>352</v>
      </c>
      <c r="B10" s="202" t="s">
        <v>26</v>
      </c>
      <c r="C10" s="202" t="s">
        <v>371</v>
      </c>
      <c r="D10" s="202" t="s">
        <v>35</v>
      </c>
      <c r="E10" s="205">
        <v>0</v>
      </c>
      <c r="F10" s="205">
        <v>0</v>
      </c>
      <c r="G10" s="205">
        <v>0</v>
      </c>
      <c r="H10" s="205">
        <v>0</v>
      </c>
      <c r="I10" s="206"/>
    </row>
    <row r="11" spans="1:10" x14ac:dyDescent="0.2">
      <c r="A11" s="202" t="s">
        <v>352</v>
      </c>
      <c r="B11" s="202" t="s">
        <v>26</v>
      </c>
      <c r="C11" s="202" t="s">
        <v>371</v>
      </c>
      <c r="D11" s="202" t="s">
        <v>36</v>
      </c>
      <c r="E11" s="205">
        <v>0</v>
      </c>
      <c r="F11" s="205">
        <v>0</v>
      </c>
      <c r="G11" s="205">
        <v>0</v>
      </c>
      <c r="H11" s="205">
        <v>0</v>
      </c>
      <c r="I11" s="206"/>
    </row>
    <row r="12" spans="1:10" x14ac:dyDescent="0.2">
      <c r="A12" s="202" t="s">
        <v>352</v>
      </c>
      <c r="B12" s="202" t="s">
        <v>26</v>
      </c>
      <c r="C12" s="202" t="s">
        <v>371</v>
      </c>
      <c r="D12" s="202" t="s">
        <v>37</v>
      </c>
      <c r="E12" s="205">
        <v>49949.01</v>
      </c>
      <c r="F12" s="205">
        <v>17</v>
      </c>
      <c r="G12" s="205">
        <v>7</v>
      </c>
      <c r="H12" s="205">
        <v>1</v>
      </c>
      <c r="I12" s="206"/>
    </row>
    <row r="13" spans="1:10" x14ac:dyDescent="0.2">
      <c r="A13" s="202" t="s">
        <v>352</v>
      </c>
      <c r="B13" s="202" t="s">
        <v>26</v>
      </c>
      <c r="C13" s="202" t="s">
        <v>371</v>
      </c>
      <c r="D13" s="202" t="s">
        <v>26</v>
      </c>
      <c r="E13" s="205">
        <v>29417.1</v>
      </c>
      <c r="F13" s="205">
        <v>8</v>
      </c>
      <c r="G13" s="205">
        <v>1</v>
      </c>
      <c r="H13" s="205">
        <v>1</v>
      </c>
      <c r="I13" s="206"/>
    </row>
    <row r="14" spans="1:10" x14ac:dyDescent="0.2">
      <c r="A14" s="202" t="s">
        <v>352</v>
      </c>
      <c r="B14" s="202" t="s">
        <v>26</v>
      </c>
      <c r="C14" s="202" t="s">
        <v>371</v>
      </c>
      <c r="D14" s="202" t="s">
        <v>38</v>
      </c>
      <c r="E14" s="205">
        <v>23947.439999999999</v>
      </c>
      <c r="F14" s="205">
        <v>2</v>
      </c>
      <c r="G14" s="205">
        <v>0</v>
      </c>
      <c r="H14" s="205">
        <v>0</v>
      </c>
      <c r="I14" s="206"/>
    </row>
    <row r="15" spans="1:10" x14ac:dyDescent="0.2">
      <c r="A15" s="202" t="s">
        <v>352</v>
      </c>
      <c r="B15" s="202" t="s">
        <v>26</v>
      </c>
      <c r="C15" s="202" t="s">
        <v>371</v>
      </c>
      <c r="D15" s="202" t="s">
        <v>39</v>
      </c>
      <c r="E15" s="393">
        <v>537546</v>
      </c>
      <c r="F15" s="393">
        <v>69</v>
      </c>
      <c r="G15" s="393">
        <v>58</v>
      </c>
      <c r="H15" s="393">
        <v>54</v>
      </c>
      <c r="I15" s="213"/>
      <c r="J15" s="417">
        <v>7</v>
      </c>
    </row>
    <row r="16" spans="1:10" x14ac:dyDescent="0.2">
      <c r="A16" s="202" t="s">
        <v>352</v>
      </c>
      <c r="B16" s="202" t="s">
        <v>26</v>
      </c>
      <c r="C16" s="202" t="s">
        <v>371</v>
      </c>
      <c r="D16" s="202" t="s">
        <v>40</v>
      </c>
      <c r="E16" s="205">
        <v>0</v>
      </c>
      <c r="F16" s="205">
        <v>0</v>
      </c>
      <c r="G16" s="205">
        <v>0</v>
      </c>
      <c r="H16" s="205">
        <v>0</v>
      </c>
      <c r="I16" s="206"/>
    </row>
    <row r="17" spans="1:11" x14ac:dyDescent="0.2">
      <c r="A17" s="202" t="s">
        <v>352</v>
      </c>
      <c r="B17" s="202" t="s">
        <v>26</v>
      </c>
      <c r="C17" s="202" t="s">
        <v>371</v>
      </c>
      <c r="D17" s="202" t="s">
        <v>41</v>
      </c>
      <c r="E17" s="205">
        <v>0</v>
      </c>
      <c r="F17" s="205">
        <v>0</v>
      </c>
      <c r="G17" s="205">
        <v>0</v>
      </c>
      <c r="H17" s="205">
        <v>0</v>
      </c>
      <c r="I17" s="206"/>
    </row>
    <row r="18" spans="1:11" x14ac:dyDescent="0.2">
      <c r="A18" s="202" t="s">
        <v>352</v>
      </c>
      <c r="B18" s="202" t="s">
        <v>26</v>
      </c>
      <c r="C18" s="202" t="s">
        <v>371</v>
      </c>
      <c r="D18" s="202" t="s">
        <v>42</v>
      </c>
      <c r="E18" s="205">
        <v>0</v>
      </c>
      <c r="F18" s="205">
        <v>0</v>
      </c>
      <c r="G18" s="205">
        <v>0</v>
      </c>
      <c r="H18" s="205">
        <v>0</v>
      </c>
      <c r="I18" s="206"/>
    </row>
    <row r="19" spans="1:11" x14ac:dyDescent="0.2">
      <c r="A19" s="202" t="s">
        <v>352</v>
      </c>
      <c r="B19" s="202" t="s">
        <v>26</v>
      </c>
      <c r="C19" s="202" t="s">
        <v>371</v>
      </c>
      <c r="D19" s="202" t="s">
        <v>43</v>
      </c>
      <c r="E19" s="205">
        <v>0</v>
      </c>
      <c r="F19" s="205">
        <v>0</v>
      </c>
      <c r="G19" s="205">
        <v>0</v>
      </c>
      <c r="H19" s="205">
        <v>0</v>
      </c>
      <c r="I19" s="206"/>
    </row>
    <row r="20" spans="1:11" x14ac:dyDescent="0.2">
      <c r="A20" s="202" t="s">
        <v>352</v>
      </c>
      <c r="B20" s="202" t="s">
        <v>26</v>
      </c>
      <c r="C20" s="202" t="s">
        <v>371</v>
      </c>
      <c r="D20" s="202" t="s">
        <v>44</v>
      </c>
      <c r="E20" s="393">
        <v>3281443.8</v>
      </c>
      <c r="F20" s="393">
        <v>123</v>
      </c>
      <c r="G20" s="393">
        <v>128</v>
      </c>
      <c r="H20" s="393">
        <v>128</v>
      </c>
      <c r="I20" s="417">
        <v>19</v>
      </c>
      <c r="J20" s="417">
        <v>5</v>
      </c>
    </row>
    <row r="21" spans="1:11" x14ac:dyDescent="0.2">
      <c r="A21" s="202" t="s">
        <v>352</v>
      </c>
      <c r="B21" s="202" t="s">
        <v>26</v>
      </c>
      <c r="C21" s="202" t="s">
        <v>371</v>
      </c>
      <c r="D21" s="202" t="s">
        <v>45</v>
      </c>
      <c r="E21" s="205">
        <v>0</v>
      </c>
      <c r="F21" s="205">
        <v>0</v>
      </c>
      <c r="G21" s="205">
        <v>0</v>
      </c>
      <c r="H21" s="205">
        <v>0</v>
      </c>
      <c r="I21" s="206"/>
    </row>
    <row r="22" spans="1:11" x14ac:dyDescent="0.2">
      <c r="A22" s="202" t="s">
        <v>352</v>
      </c>
      <c r="B22" s="202" t="s">
        <v>26</v>
      </c>
      <c r="C22" s="202" t="s">
        <v>371</v>
      </c>
      <c r="D22" s="202" t="s">
        <v>46</v>
      </c>
      <c r="E22" s="393">
        <v>2349528.5299999998</v>
      </c>
      <c r="F22" s="393">
        <v>84</v>
      </c>
      <c r="G22" s="393">
        <v>52</v>
      </c>
      <c r="H22" s="393">
        <v>49</v>
      </c>
      <c r="I22" s="417" t="s">
        <v>46</v>
      </c>
      <c r="J22" s="417">
        <v>6</v>
      </c>
    </row>
    <row r="23" spans="1:11" x14ac:dyDescent="0.2">
      <c r="A23" s="202" t="s">
        <v>352</v>
      </c>
      <c r="B23" s="202" t="s">
        <v>26</v>
      </c>
      <c r="C23" s="202" t="s">
        <v>371</v>
      </c>
      <c r="D23" s="202" t="s">
        <v>47</v>
      </c>
      <c r="E23" s="205">
        <v>0</v>
      </c>
      <c r="F23" s="205">
        <v>0</v>
      </c>
      <c r="G23" s="205">
        <v>0</v>
      </c>
      <c r="H23" s="205">
        <v>0</v>
      </c>
    </row>
    <row r="24" spans="1:11" x14ac:dyDescent="0.2">
      <c r="A24" s="202" t="s">
        <v>352</v>
      </c>
      <c r="B24" s="202" t="s">
        <v>26</v>
      </c>
      <c r="C24" s="202" t="s">
        <v>371</v>
      </c>
      <c r="D24" s="202" t="s">
        <v>48</v>
      </c>
      <c r="E24" s="205">
        <v>0</v>
      </c>
      <c r="F24" s="205">
        <v>0</v>
      </c>
      <c r="G24" s="205">
        <v>0</v>
      </c>
      <c r="H24" s="205">
        <v>0</v>
      </c>
    </row>
    <row r="25" spans="1:11" x14ac:dyDescent="0.2">
      <c r="A25" s="202" t="s">
        <v>352</v>
      </c>
      <c r="B25" s="202" t="s">
        <v>26</v>
      </c>
      <c r="C25" s="202" t="s">
        <v>371</v>
      </c>
      <c r="D25" s="202" t="s">
        <v>354</v>
      </c>
      <c r="E25" s="205">
        <v>0</v>
      </c>
      <c r="F25" s="205">
        <v>0</v>
      </c>
      <c r="G25" s="205">
        <v>0</v>
      </c>
      <c r="H25" s="205">
        <v>0</v>
      </c>
    </row>
    <row r="26" spans="1:11" x14ac:dyDescent="0.2">
      <c r="A26" s="202" t="s">
        <v>352</v>
      </c>
      <c r="B26" s="202" t="s">
        <v>26</v>
      </c>
      <c r="C26" s="202" t="s">
        <v>371</v>
      </c>
      <c r="D26" s="202" t="s">
        <v>355</v>
      </c>
      <c r="E26" s="205">
        <v>0</v>
      </c>
      <c r="F26" s="205">
        <v>0</v>
      </c>
      <c r="G26" s="205">
        <v>0</v>
      </c>
      <c r="H26" s="205">
        <v>0</v>
      </c>
    </row>
    <row r="27" spans="1:11" x14ac:dyDescent="0.2">
      <c r="A27" s="202" t="s">
        <v>352</v>
      </c>
      <c r="B27" s="202" t="s">
        <v>26</v>
      </c>
      <c r="C27" s="202" t="s">
        <v>371</v>
      </c>
      <c r="D27" s="202" t="s">
        <v>356</v>
      </c>
      <c r="E27" s="205">
        <v>0</v>
      </c>
      <c r="F27" s="205">
        <v>0</v>
      </c>
      <c r="G27" s="205">
        <v>0</v>
      </c>
      <c r="H27" s="205">
        <v>0</v>
      </c>
    </row>
    <row r="28" spans="1:11" x14ac:dyDescent="0.2">
      <c r="A28" s="254" t="s">
        <v>352</v>
      </c>
      <c r="B28" s="254" t="s">
        <v>26</v>
      </c>
      <c r="C28" s="254" t="s">
        <v>371</v>
      </c>
      <c r="D28" s="254" t="s">
        <v>357</v>
      </c>
      <c r="E28" s="255">
        <v>20637010.300000001</v>
      </c>
      <c r="F28" s="255">
        <v>2036</v>
      </c>
      <c r="G28" s="255">
        <v>1540</v>
      </c>
      <c r="H28" s="255">
        <v>1318</v>
      </c>
    </row>
    <row r="29" spans="1:11" x14ac:dyDescent="0.2">
      <c r="A29" s="202" t="s">
        <v>352</v>
      </c>
      <c r="B29" s="202" t="s">
        <v>26</v>
      </c>
      <c r="C29" s="202" t="s">
        <v>371</v>
      </c>
      <c r="D29" s="202" t="s">
        <v>49</v>
      </c>
      <c r="E29" s="205">
        <v>360</v>
      </c>
      <c r="F29" s="205">
        <v>0</v>
      </c>
      <c r="G29" s="205">
        <v>0</v>
      </c>
      <c r="H29" s="205">
        <v>0</v>
      </c>
    </row>
    <row r="30" spans="1:11" x14ac:dyDescent="0.2">
      <c r="A30" s="202" t="s">
        <v>352</v>
      </c>
      <c r="B30" s="202" t="s">
        <v>26</v>
      </c>
      <c r="C30" s="202" t="s">
        <v>371</v>
      </c>
      <c r="D30" s="202" t="s">
        <v>50</v>
      </c>
      <c r="E30" s="205">
        <v>60</v>
      </c>
      <c r="F30" s="205">
        <v>0</v>
      </c>
      <c r="G30" s="205">
        <v>0</v>
      </c>
      <c r="H30" s="205">
        <v>0</v>
      </c>
    </row>
    <row r="31" spans="1:11" x14ac:dyDescent="0.2">
      <c r="D31" s="209" t="s">
        <v>93</v>
      </c>
      <c r="E31" s="210">
        <f>SUM(E3:E6,E20,E22)</f>
        <v>9669396.5999999996</v>
      </c>
      <c r="F31" s="210">
        <f>SUM(F3:F6,F20,F22)</f>
        <v>915</v>
      </c>
      <c r="G31" s="210">
        <f>SUM(G3:G6,G20,G22)</f>
        <v>698</v>
      </c>
      <c r="H31" s="210">
        <f>SUM(H3:H6,H20,H22)</f>
        <v>603</v>
      </c>
      <c r="I31" s="212"/>
      <c r="K31" s="393">
        <f>SUM(H31)/G31*100</f>
        <v>86.38968481375359</v>
      </c>
    </row>
    <row r="32" spans="1:11" x14ac:dyDescent="0.2">
      <c r="D32" s="418" t="s">
        <v>105</v>
      </c>
      <c r="E32" s="419">
        <f>E3+E4+E5+E6+E20+E22</f>
        <v>9669396.5999999996</v>
      </c>
      <c r="I32" s="212"/>
    </row>
    <row r="33" spans="4:11" x14ac:dyDescent="0.2">
      <c r="D33" s="204"/>
      <c r="E33" s="205">
        <f>SUM(E3:E20,E22,E24:E27)</f>
        <v>10318505.15</v>
      </c>
      <c r="I33" s="212"/>
    </row>
    <row r="34" spans="4:11" x14ac:dyDescent="0.2">
      <c r="D34" s="209" t="s">
        <v>295</v>
      </c>
      <c r="E34" s="210">
        <f>SUM(E3:E6,E15,E20,E22)</f>
        <v>10206942.6</v>
      </c>
      <c r="F34" s="210">
        <f>SUM(F3:F6,F15,F20,F22)</f>
        <v>984</v>
      </c>
      <c r="G34" s="210">
        <f>SUM(G3:G6,G15,G20,G22)</f>
        <v>756</v>
      </c>
      <c r="H34" s="210">
        <f>SUM(H3:H6,H15,H20,H22)</f>
        <v>657</v>
      </c>
      <c r="I34" s="212"/>
      <c r="K34" s="393">
        <f>SUM(H34)/G34*100</f>
        <v>86.904761904761912</v>
      </c>
    </row>
    <row r="35" spans="4:11" x14ac:dyDescent="0.2">
      <c r="D35" s="418" t="s">
        <v>105</v>
      </c>
      <c r="E35" s="419">
        <f>E3+E4+E5+E6+E15+E20+E22</f>
        <v>10206942.6</v>
      </c>
      <c r="F35" s="202"/>
      <c r="G35" s="202"/>
      <c r="H35" s="202"/>
    </row>
    <row r="36" spans="4:11" x14ac:dyDescent="0.2">
      <c r="D36" s="204"/>
      <c r="E36" s="205">
        <f>SUM(E3:E20,E22,E24:E27)</f>
        <v>10318505.15</v>
      </c>
      <c r="F36" s="202"/>
      <c r="G36" s="202"/>
      <c r="H36" s="202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Arkusz43">
    <tabColor theme="9" tint="0.59999389629810485"/>
  </sheetPr>
  <dimension ref="A1:K36"/>
  <sheetViews>
    <sheetView zoomScale="80" zoomScaleNormal="80" workbookViewId="0"/>
  </sheetViews>
  <sheetFormatPr defaultRowHeight="14.25" x14ac:dyDescent="0.2"/>
  <cols>
    <col min="1" max="3" width="9.140625" style="204"/>
    <col min="4" max="4" width="9.140625" style="202"/>
    <col min="5" max="5" width="13" style="204" customWidth="1"/>
    <col min="6" max="6" width="11.85546875" style="204" customWidth="1"/>
    <col min="7" max="7" width="11.7109375" style="204" customWidth="1"/>
    <col min="8" max="8" width="11.140625" style="204" customWidth="1"/>
    <col min="9" max="10" width="5.85546875" style="204" customWidth="1"/>
    <col min="11" max="16384" width="9.140625" style="204"/>
  </cols>
  <sheetData>
    <row r="1" spans="1:10" s="394" customFormat="1" x14ac:dyDescent="0.2">
      <c r="A1" s="392" t="s">
        <v>22</v>
      </c>
      <c r="B1" s="392" t="s">
        <v>23</v>
      </c>
      <c r="C1" s="392" t="s">
        <v>24</v>
      </c>
      <c r="D1" s="392" t="s">
        <v>25</v>
      </c>
      <c r="E1" s="393" t="s">
        <v>95</v>
      </c>
      <c r="F1" s="393" t="s">
        <v>53</v>
      </c>
      <c r="G1" s="393" t="s">
        <v>54</v>
      </c>
      <c r="H1" s="393" t="s">
        <v>94</v>
      </c>
    </row>
    <row r="2" spans="1:10" x14ac:dyDescent="0.2">
      <c r="A2" s="202" t="s">
        <v>352</v>
      </c>
      <c r="B2" s="202" t="s">
        <v>26</v>
      </c>
      <c r="C2" s="202" t="s">
        <v>372</v>
      </c>
      <c r="D2" s="202" t="s">
        <v>27</v>
      </c>
      <c r="E2" s="205">
        <v>9655134.8499999996</v>
      </c>
      <c r="F2" s="205">
        <v>1178</v>
      </c>
      <c r="G2" s="205">
        <v>846</v>
      </c>
      <c r="H2" s="205">
        <v>686</v>
      </c>
    </row>
    <row r="3" spans="1:10" x14ac:dyDescent="0.2">
      <c r="A3" s="202" t="s">
        <v>352</v>
      </c>
      <c r="B3" s="202" t="s">
        <v>26</v>
      </c>
      <c r="C3" s="202" t="s">
        <v>372</v>
      </c>
      <c r="D3" s="202" t="s">
        <v>28</v>
      </c>
      <c r="E3" s="393">
        <v>3310802.51</v>
      </c>
      <c r="F3" s="393">
        <v>491</v>
      </c>
      <c r="G3" s="393">
        <v>301</v>
      </c>
      <c r="H3" s="393">
        <v>248</v>
      </c>
      <c r="I3" s="417" t="s">
        <v>28</v>
      </c>
      <c r="J3" s="417">
        <v>1</v>
      </c>
    </row>
    <row r="4" spans="1:10" x14ac:dyDescent="0.2">
      <c r="A4" s="202" t="s">
        <v>352</v>
      </c>
      <c r="B4" s="202" t="s">
        <v>26</v>
      </c>
      <c r="C4" s="202" t="s">
        <v>372</v>
      </c>
      <c r="D4" s="202" t="s">
        <v>29</v>
      </c>
      <c r="E4" s="393">
        <v>357439.57</v>
      </c>
      <c r="F4" s="393">
        <v>178</v>
      </c>
      <c r="G4" s="393">
        <v>155</v>
      </c>
      <c r="H4" s="393">
        <v>106</v>
      </c>
      <c r="I4" s="417" t="s">
        <v>29</v>
      </c>
      <c r="J4" s="417">
        <v>2</v>
      </c>
    </row>
    <row r="5" spans="1:10" x14ac:dyDescent="0.2">
      <c r="A5" s="202" t="s">
        <v>352</v>
      </c>
      <c r="B5" s="202" t="s">
        <v>26</v>
      </c>
      <c r="C5" s="202" t="s">
        <v>372</v>
      </c>
      <c r="D5" s="202" t="s">
        <v>30</v>
      </c>
      <c r="E5" s="393">
        <v>1262822.6499999999</v>
      </c>
      <c r="F5" s="393">
        <v>223</v>
      </c>
      <c r="G5" s="393">
        <v>131</v>
      </c>
      <c r="H5" s="393">
        <v>130</v>
      </c>
      <c r="I5" s="417" t="s">
        <v>30</v>
      </c>
      <c r="J5" s="417">
        <v>3</v>
      </c>
    </row>
    <row r="6" spans="1:10" x14ac:dyDescent="0.2">
      <c r="A6" s="202" t="s">
        <v>352</v>
      </c>
      <c r="B6" s="202" t="s">
        <v>26</v>
      </c>
      <c r="C6" s="202" t="s">
        <v>372</v>
      </c>
      <c r="D6" s="202" t="s">
        <v>31</v>
      </c>
      <c r="E6" s="393">
        <v>881459.18</v>
      </c>
      <c r="F6" s="393">
        <v>62</v>
      </c>
      <c r="G6" s="393">
        <v>54</v>
      </c>
      <c r="H6" s="393">
        <v>50</v>
      </c>
      <c r="I6" s="417" t="s">
        <v>31</v>
      </c>
      <c r="J6" s="417">
        <v>4</v>
      </c>
    </row>
    <row r="7" spans="1:10" x14ac:dyDescent="0.2">
      <c r="A7" s="202" t="s">
        <v>352</v>
      </c>
      <c r="B7" s="202" t="s">
        <v>26</v>
      </c>
      <c r="C7" s="202" t="s">
        <v>372</v>
      </c>
      <c r="D7" s="202" t="s">
        <v>32</v>
      </c>
      <c r="E7" s="205">
        <v>52193.4</v>
      </c>
      <c r="F7" s="205">
        <v>27</v>
      </c>
      <c r="G7" s="205">
        <v>23</v>
      </c>
      <c r="H7" s="205">
        <v>3</v>
      </c>
      <c r="I7" s="206"/>
    </row>
    <row r="8" spans="1:10" x14ac:dyDescent="0.2">
      <c r="A8" s="202" t="s">
        <v>352</v>
      </c>
      <c r="B8" s="202" t="s">
        <v>26</v>
      </c>
      <c r="C8" s="202" t="s">
        <v>372</v>
      </c>
      <c r="D8" s="202" t="s">
        <v>33</v>
      </c>
      <c r="E8" s="205">
        <v>8560.2000000000007</v>
      </c>
      <c r="F8" s="205">
        <v>18</v>
      </c>
      <c r="G8" s="205">
        <v>15</v>
      </c>
      <c r="H8" s="205">
        <v>1</v>
      </c>
      <c r="I8" s="206"/>
    </row>
    <row r="9" spans="1:10" x14ac:dyDescent="0.2">
      <c r="A9" s="202" t="s">
        <v>352</v>
      </c>
      <c r="B9" s="202" t="s">
        <v>26</v>
      </c>
      <c r="C9" s="202" t="s">
        <v>372</v>
      </c>
      <c r="D9" s="202" t="s">
        <v>34</v>
      </c>
      <c r="E9" s="205">
        <v>42372.86</v>
      </c>
      <c r="F9" s="205">
        <v>7</v>
      </c>
      <c r="G9" s="205">
        <v>0</v>
      </c>
      <c r="H9" s="205">
        <v>0</v>
      </c>
      <c r="I9" s="206"/>
    </row>
    <row r="10" spans="1:10" x14ac:dyDescent="0.2">
      <c r="A10" s="202" t="s">
        <v>352</v>
      </c>
      <c r="B10" s="202" t="s">
        <v>26</v>
      </c>
      <c r="C10" s="202" t="s">
        <v>372</v>
      </c>
      <c r="D10" s="202" t="s">
        <v>35</v>
      </c>
      <c r="E10" s="205">
        <v>0</v>
      </c>
      <c r="F10" s="205">
        <v>0</v>
      </c>
      <c r="G10" s="205">
        <v>0</v>
      </c>
      <c r="H10" s="205">
        <v>0</v>
      </c>
      <c r="I10" s="206"/>
    </row>
    <row r="11" spans="1:10" x14ac:dyDescent="0.2">
      <c r="A11" s="202" t="s">
        <v>352</v>
      </c>
      <c r="B11" s="202" t="s">
        <v>26</v>
      </c>
      <c r="C11" s="202" t="s">
        <v>372</v>
      </c>
      <c r="D11" s="202" t="s">
        <v>36</v>
      </c>
      <c r="E11" s="205">
        <v>0</v>
      </c>
      <c r="F11" s="205">
        <v>0</v>
      </c>
      <c r="G11" s="205">
        <v>0</v>
      </c>
      <c r="H11" s="205">
        <v>0</v>
      </c>
      <c r="I11" s="206"/>
    </row>
    <row r="12" spans="1:10" x14ac:dyDescent="0.2">
      <c r="A12" s="202" t="s">
        <v>352</v>
      </c>
      <c r="B12" s="202" t="s">
        <v>26</v>
      </c>
      <c r="C12" s="202" t="s">
        <v>372</v>
      </c>
      <c r="D12" s="202" t="s">
        <v>37</v>
      </c>
      <c r="E12" s="205">
        <v>0</v>
      </c>
      <c r="F12" s="205">
        <v>0</v>
      </c>
      <c r="G12" s="205">
        <v>0</v>
      </c>
      <c r="H12" s="205">
        <v>0</v>
      </c>
      <c r="I12" s="206"/>
    </row>
    <row r="13" spans="1:10" x14ac:dyDescent="0.2">
      <c r="A13" s="202" t="s">
        <v>352</v>
      </c>
      <c r="B13" s="202" t="s">
        <v>26</v>
      </c>
      <c r="C13" s="202" t="s">
        <v>372</v>
      </c>
      <c r="D13" s="202" t="s">
        <v>26</v>
      </c>
      <c r="E13" s="205">
        <v>24075.74</v>
      </c>
      <c r="F13" s="205">
        <v>11</v>
      </c>
      <c r="G13" s="205">
        <v>7</v>
      </c>
      <c r="H13" s="205">
        <v>2</v>
      </c>
      <c r="I13" s="206"/>
    </row>
    <row r="14" spans="1:10" x14ac:dyDescent="0.2">
      <c r="A14" s="202" t="s">
        <v>352</v>
      </c>
      <c r="B14" s="202" t="s">
        <v>26</v>
      </c>
      <c r="C14" s="202" t="s">
        <v>372</v>
      </c>
      <c r="D14" s="202" t="s">
        <v>38</v>
      </c>
      <c r="E14" s="205">
        <v>0</v>
      </c>
      <c r="F14" s="205">
        <v>0</v>
      </c>
      <c r="G14" s="205">
        <v>0</v>
      </c>
      <c r="H14" s="205">
        <v>0</v>
      </c>
      <c r="I14" s="206"/>
    </row>
    <row r="15" spans="1:10" x14ac:dyDescent="0.2">
      <c r="A15" s="202" t="s">
        <v>352</v>
      </c>
      <c r="B15" s="202" t="s">
        <v>26</v>
      </c>
      <c r="C15" s="202" t="s">
        <v>372</v>
      </c>
      <c r="D15" s="202" t="s">
        <v>39</v>
      </c>
      <c r="E15" s="393">
        <v>277756.90999999997</v>
      </c>
      <c r="F15" s="393">
        <v>29</v>
      </c>
      <c r="G15" s="393">
        <v>36</v>
      </c>
      <c r="H15" s="393">
        <v>34</v>
      </c>
      <c r="I15" s="213"/>
      <c r="J15" s="417">
        <v>7</v>
      </c>
    </row>
    <row r="16" spans="1:10" x14ac:dyDescent="0.2">
      <c r="A16" s="202" t="s">
        <v>352</v>
      </c>
      <c r="B16" s="202" t="s">
        <v>26</v>
      </c>
      <c r="C16" s="202" t="s">
        <v>372</v>
      </c>
      <c r="D16" s="202" t="s">
        <v>40</v>
      </c>
      <c r="E16" s="205">
        <v>0</v>
      </c>
      <c r="F16" s="205">
        <v>0</v>
      </c>
      <c r="G16" s="205">
        <v>0</v>
      </c>
      <c r="H16" s="205">
        <v>0</v>
      </c>
      <c r="I16" s="206"/>
    </row>
    <row r="17" spans="1:11" x14ac:dyDescent="0.2">
      <c r="A17" s="202" t="s">
        <v>352</v>
      </c>
      <c r="B17" s="202" t="s">
        <v>26</v>
      </c>
      <c r="C17" s="202" t="s">
        <v>372</v>
      </c>
      <c r="D17" s="202" t="s">
        <v>41</v>
      </c>
      <c r="E17" s="205">
        <v>0</v>
      </c>
      <c r="F17" s="205">
        <v>0</v>
      </c>
      <c r="G17" s="205">
        <v>0</v>
      </c>
      <c r="H17" s="205">
        <v>0</v>
      </c>
      <c r="I17" s="206"/>
    </row>
    <row r="18" spans="1:11" x14ac:dyDescent="0.2">
      <c r="A18" s="202" t="s">
        <v>352</v>
      </c>
      <c r="B18" s="202" t="s">
        <v>26</v>
      </c>
      <c r="C18" s="202" t="s">
        <v>372</v>
      </c>
      <c r="D18" s="202" t="s">
        <v>42</v>
      </c>
      <c r="E18" s="205">
        <v>0</v>
      </c>
      <c r="F18" s="205">
        <v>0</v>
      </c>
      <c r="G18" s="205">
        <v>0</v>
      </c>
      <c r="H18" s="205">
        <v>0</v>
      </c>
      <c r="I18" s="206"/>
    </row>
    <row r="19" spans="1:11" x14ac:dyDescent="0.2">
      <c r="A19" s="202" t="s">
        <v>352</v>
      </c>
      <c r="B19" s="202" t="s">
        <v>26</v>
      </c>
      <c r="C19" s="202" t="s">
        <v>372</v>
      </c>
      <c r="D19" s="202" t="s">
        <v>43</v>
      </c>
      <c r="E19" s="205">
        <v>0</v>
      </c>
      <c r="F19" s="205">
        <v>0</v>
      </c>
      <c r="G19" s="205">
        <v>0</v>
      </c>
      <c r="H19" s="205">
        <v>0</v>
      </c>
      <c r="I19" s="206"/>
    </row>
    <row r="20" spans="1:11" x14ac:dyDescent="0.2">
      <c r="A20" s="202" t="s">
        <v>352</v>
      </c>
      <c r="B20" s="202" t="s">
        <v>26</v>
      </c>
      <c r="C20" s="202" t="s">
        <v>372</v>
      </c>
      <c r="D20" s="202" t="s">
        <v>44</v>
      </c>
      <c r="E20" s="393">
        <v>1919891.97</v>
      </c>
      <c r="F20" s="393">
        <v>79</v>
      </c>
      <c r="G20" s="393">
        <v>97</v>
      </c>
      <c r="H20" s="393">
        <v>86</v>
      </c>
      <c r="I20" s="417">
        <v>19</v>
      </c>
      <c r="J20" s="417">
        <v>5</v>
      </c>
    </row>
    <row r="21" spans="1:11" x14ac:dyDescent="0.2">
      <c r="A21" s="202" t="s">
        <v>352</v>
      </c>
      <c r="B21" s="202" t="s">
        <v>26</v>
      </c>
      <c r="C21" s="202" t="s">
        <v>372</v>
      </c>
      <c r="D21" s="202" t="s">
        <v>45</v>
      </c>
      <c r="E21" s="205">
        <v>0</v>
      </c>
      <c r="F21" s="205">
        <v>0</v>
      </c>
      <c r="G21" s="205">
        <v>0</v>
      </c>
      <c r="H21" s="205">
        <v>0</v>
      </c>
      <c r="I21" s="206"/>
    </row>
    <row r="22" spans="1:11" x14ac:dyDescent="0.2">
      <c r="A22" s="202" t="s">
        <v>352</v>
      </c>
      <c r="B22" s="202" t="s">
        <v>26</v>
      </c>
      <c r="C22" s="202" t="s">
        <v>372</v>
      </c>
      <c r="D22" s="202" t="s">
        <v>46</v>
      </c>
      <c r="E22" s="393">
        <v>1517759.86</v>
      </c>
      <c r="F22" s="393">
        <v>53</v>
      </c>
      <c r="G22" s="393">
        <v>27</v>
      </c>
      <c r="H22" s="393">
        <v>26</v>
      </c>
      <c r="I22" s="417">
        <v>21</v>
      </c>
      <c r="J22" s="417">
        <v>6</v>
      </c>
    </row>
    <row r="23" spans="1:11" x14ac:dyDescent="0.2">
      <c r="A23" s="202" t="s">
        <v>352</v>
      </c>
      <c r="B23" s="202" t="s">
        <v>26</v>
      </c>
      <c r="C23" s="202" t="s">
        <v>372</v>
      </c>
      <c r="D23" s="202" t="s">
        <v>47</v>
      </c>
      <c r="E23" s="205">
        <v>0</v>
      </c>
      <c r="F23" s="205">
        <v>0</v>
      </c>
      <c r="G23" s="205">
        <v>0</v>
      </c>
      <c r="H23" s="205">
        <v>0</v>
      </c>
    </row>
    <row r="24" spans="1:11" x14ac:dyDescent="0.2">
      <c r="A24" s="202" t="s">
        <v>352</v>
      </c>
      <c r="B24" s="202" t="s">
        <v>26</v>
      </c>
      <c r="C24" s="202" t="s">
        <v>372</v>
      </c>
      <c r="D24" s="202" t="s">
        <v>48</v>
      </c>
      <c r="E24" s="205">
        <v>0</v>
      </c>
      <c r="F24" s="205">
        <v>0</v>
      </c>
      <c r="G24" s="205">
        <v>0</v>
      </c>
      <c r="H24" s="205">
        <v>0</v>
      </c>
    </row>
    <row r="25" spans="1:11" x14ac:dyDescent="0.2">
      <c r="A25" s="202" t="s">
        <v>352</v>
      </c>
      <c r="B25" s="202" t="s">
        <v>26</v>
      </c>
      <c r="C25" s="202" t="s">
        <v>372</v>
      </c>
      <c r="D25" s="202" t="s">
        <v>354</v>
      </c>
      <c r="E25" s="205">
        <v>0</v>
      </c>
      <c r="F25" s="205">
        <v>0</v>
      </c>
      <c r="G25" s="205">
        <v>0</v>
      </c>
      <c r="H25" s="205">
        <v>0</v>
      </c>
    </row>
    <row r="26" spans="1:11" x14ac:dyDescent="0.2">
      <c r="A26" s="202" t="s">
        <v>352</v>
      </c>
      <c r="B26" s="202" t="s">
        <v>26</v>
      </c>
      <c r="C26" s="202" t="s">
        <v>372</v>
      </c>
      <c r="D26" s="202" t="s">
        <v>355</v>
      </c>
      <c r="E26" s="205">
        <v>0</v>
      </c>
      <c r="F26" s="205">
        <v>0</v>
      </c>
      <c r="G26" s="205">
        <v>0</v>
      </c>
      <c r="H26" s="205">
        <v>0</v>
      </c>
    </row>
    <row r="27" spans="1:11" x14ac:dyDescent="0.2">
      <c r="A27" s="202" t="s">
        <v>352</v>
      </c>
      <c r="B27" s="202" t="s">
        <v>26</v>
      </c>
      <c r="C27" s="202" t="s">
        <v>372</v>
      </c>
      <c r="D27" s="202" t="s">
        <v>356</v>
      </c>
      <c r="E27" s="205">
        <v>0</v>
      </c>
      <c r="F27" s="205">
        <v>0</v>
      </c>
      <c r="G27" s="205">
        <v>0</v>
      </c>
      <c r="H27" s="205">
        <v>0</v>
      </c>
    </row>
    <row r="28" spans="1:11" x14ac:dyDescent="0.2">
      <c r="A28" s="254" t="s">
        <v>352</v>
      </c>
      <c r="B28" s="254" t="s">
        <v>26</v>
      </c>
      <c r="C28" s="254" t="s">
        <v>372</v>
      </c>
      <c r="D28" s="254" t="s">
        <v>357</v>
      </c>
      <c r="E28" s="255">
        <v>19310269.699999999</v>
      </c>
      <c r="F28" s="255">
        <v>2356</v>
      </c>
      <c r="G28" s="255">
        <v>1692</v>
      </c>
      <c r="H28" s="255">
        <v>1372</v>
      </c>
    </row>
    <row r="29" spans="1:11" x14ac:dyDescent="0.2">
      <c r="A29" s="202" t="s">
        <v>352</v>
      </c>
      <c r="B29" s="202" t="s">
        <v>26</v>
      </c>
      <c r="C29" s="202" t="s">
        <v>372</v>
      </c>
      <c r="D29" s="202" t="s">
        <v>49</v>
      </c>
      <c r="E29" s="205">
        <v>4800</v>
      </c>
      <c r="F29" s="205">
        <v>0</v>
      </c>
      <c r="G29" s="205">
        <v>0</v>
      </c>
      <c r="H29" s="205">
        <v>0</v>
      </c>
    </row>
    <row r="30" spans="1:11" x14ac:dyDescent="0.2">
      <c r="A30" s="202" t="s">
        <v>352</v>
      </c>
      <c r="B30" s="202" t="s">
        <v>26</v>
      </c>
      <c r="C30" s="202" t="s">
        <v>372</v>
      </c>
      <c r="D30" s="202" t="s">
        <v>50</v>
      </c>
      <c r="E30" s="205">
        <v>160</v>
      </c>
      <c r="F30" s="205">
        <v>0</v>
      </c>
      <c r="G30" s="205">
        <v>0</v>
      </c>
      <c r="H30" s="205">
        <v>0</v>
      </c>
    </row>
    <row r="31" spans="1:11" x14ac:dyDescent="0.2">
      <c r="D31" s="209" t="s">
        <v>93</v>
      </c>
      <c r="E31" s="210">
        <f>SUM(E3:E6,E20,E22)</f>
        <v>9250175.7399999984</v>
      </c>
      <c r="F31" s="210">
        <f>SUM(F3:F6,F20,F22)</f>
        <v>1086</v>
      </c>
      <c r="G31" s="210">
        <f>SUM(G3:G6,G20,G22)</f>
        <v>765</v>
      </c>
      <c r="H31" s="210">
        <f>SUM(H3:H6,H20,H22)</f>
        <v>646</v>
      </c>
      <c r="I31" s="212"/>
      <c r="K31" s="393">
        <f>SUM(H31)/G31*100</f>
        <v>84.444444444444443</v>
      </c>
    </row>
    <row r="32" spans="1:11" x14ac:dyDescent="0.2">
      <c r="D32" s="418" t="s">
        <v>105</v>
      </c>
      <c r="E32" s="419">
        <f>E3+E4+E5+E6+E20+E22</f>
        <v>9250175.7399999984</v>
      </c>
      <c r="I32" s="212"/>
    </row>
    <row r="33" spans="4:11" x14ac:dyDescent="0.2">
      <c r="D33" s="204"/>
      <c r="E33" s="205">
        <f>SUM(E3:E20,E22,E24:E27)</f>
        <v>9655134.8499999996</v>
      </c>
      <c r="I33" s="212"/>
    </row>
    <row r="34" spans="4:11" x14ac:dyDescent="0.2">
      <c r="D34" s="209" t="s">
        <v>295</v>
      </c>
      <c r="E34" s="210">
        <f>SUM(E3:E6,E15,E20,E22)</f>
        <v>9527932.6499999985</v>
      </c>
      <c r="F34" s="210">
        <f>SUM(F3:F6,F15,F20,F22)</f>
        <v>1115</v>
      </c>
      <c r="G34" s="210">
        <f>SUM(G3:G6,G15,G20,G22)</f>
        <v>801</v>
      </c>
      <c r="H34" s="210">
        <f>SUM(H3:H6,H15,H20,H22)</f>
        <v>680</v>
      </c>
      <c r="I34" s="212"/>
      <c r="K34" s="393">
        <f>SUM(H34)/G34*100</f>
        <v>84.893882646691637</v>
      </c>
    </row>
    <row r="35" spans="4:11" x14ac:dyDescent="0.2">
      <c r="D35" s="418" t="s">
        <v>105</v>
      </c>
      <c r="E35" s="419">
        <f>E3+E4+E5+E6+E15+E20+E22</f>
        <v>9527932.6499999985</v>
      </c>
      <c r="F35" s="202"/>
      <c r="G35" s="202"/>
      <c r="H35" s="202"/>
    </row>
    <row r="36" spans="4:11" x14ac:dyDescent="0.2">
      <c r="D36" s="204"/>
      <c r="E36" s="205">
        <f>SUM(E3:E20,E22,E24:E27)</f>
        <v>9655134.8499999996</v>
      </c>
      <c r="F36" s="202"/>
      <c r="G36" s="202"/>
      <c r="H36" s="20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Arkusz44">
    <tabColor theme="9" tint="0.59999389629810485"/>
  </sheetPr>
  <dimension ref="A1:L36"/>
  <sheetViews>
    <sheetView zoomScale="80" zoomScaleNormal="80" workbookViewId="0"/>
  </sheetViews>
  <sheetFormatPr defaultRowHeight="15" x14ac:dyDescent="0.25"/>
  <cols>
    <col min="4" max="4" width="9.140625" style="1"/>
    <col min="5" max="5" width="14.42578125" customWidth="1"/>
    <col min="6" max="6" width="11.85546875" customWidth="1"/>
    <col min="7" max="7" width="11.7109375" customWidth="1"/>
    <col min="8" max="8" width="11.140625" customWidth="1"/>
    <col min="9" max="10" width="5.85546875" customWidth="1"/>
  </cols>
  <sheetData>
    <row r="1" spans="1:11" s="422" customFormat="1" x14ac:dyDescent="0.25">
      <c r="A1" s="420" t="s">
        <v>22</v>
      </c>
      <c r="B1" s="420" t="s">
        <v>23</v>
      </c>
      <c r="C1" s="420" t="s">
        <v>24</v>
      </c>
      <c r="D1" s="420" t="s">
        <v>25</v>
      </c>
      <c r="E1" s="421" t="s">
        <v>95</v>
      </c>
      <c r="F1" s="421" t="s">
        <v>53</v>
      </c>
      <c r="G1" s="421" t="s">
        <v>54</v>
      </c>
      <c r="H1" s="421" t="s">
        <v>94</v>
      </c>
    </row>
    <row r="2" spans="1:11" x14ac:dyDescent="0.25">
      <c r="A2" s="1" t="s">
        <v>352</v>
      </c>
      <c r="B2" s="1" t="s">
        <v>26</v>
      </c>
      <c r="C2" s="1" t="s">
        <v>373</v>
      </c>
      <c r="D2" s="1" t="s">
        <v>27</v>
      </c>
      <c r="E2" s="4">
        <v>16628110.220000001</v>
      </c>
      <c r="F2" s="4">
        <v>1455</v>
      </c>
      <c r="G2" s="4">
        <v>1060</v>
      </c>
      <c r="H2" s="4">
        <v>934</v>
      </c>
    </row>
    <row r="3" spans="1:11" x14ac:dyDescent="0.25">
      <c r="A3" s="1" t="s">
        <v>352</v>
      </c>
      <c r="B3" s="1" t="s">
        <v>26</v>
      </c>
      <c r="C3" s="1" t="s">
        <v>373</v>
      </c>
      <c r="D3" s="1" t="s">
        <v>28</v>
      </c>
      <c r="E3" s="421">
        <v>6869222.8600000003</v>
      </c>
      <c r="F3" s="421">
        <v>802</v>
      </c>
      <c r="G3" s="421">
        <v>580</v>
      </c>
      <c r="H3" s="421">
        <v>511</v>
      </c>
      <c r="I3" s="424" t="s">
        <v>28</v>
      </c>
      <c r="J3" s="424">
        <v>1</v>
      </c>
    </row>
    <row r="4" spans="1:11" x14ac:dyDescent="0.25">
      <c r="A4" s="1" t="s">
        <v>352</v>
      </c>
      <c r="B4" s="1" t="s">
        <v>26</v>
      </c>
      <c r="C4" s="1" t="s">
        <v>373</v>
      </c>
      <c r="D4" s="1" t="s">
        <v>29</v>
      </c>
      <c r="E4" s="421">
        <v>329550.46000000002</v>
      </c>
      <c r="F4" s="421">
        <v>107</v>
      </c>
      <c r="G4" s="421">
        <v>52</v>
      </c>
      <c r="H4" s="421">
        <v>30</v>
      </c>
      <c r="I4" s="424" t="s">
        <v>29</v>
      </c>
      <c r="J4" s="424">
        <v>2</v>
      </c>
    </row>
    <row r="5" spans="1:11" x14ac:dyDescent="0.25">
      <c r="A5" s="1" t="s">
        <v>352</v>
      </c>
      <c r="B5" s="1" t="s">
        <v>26</v>
      </c>
      <c r="C5" s="1" t="s">
        <v>373</v>
      </c>
      <c r="D5" s="1" t="s">
        <v>30</v>
      </c>
      <c r="E5" s="421">
        <v>833665.8</v>
      </c>
      <c r="F5" s="421">
        <v>142</v>
      </c>
      <c r="G5" s="421">
        <v>114</v>
      </c>
      <c r="H5" s="421">
        <v>110</v>
      </c>
      <c r="I5" s="424" t="s">
        <v>30</v>
      </c>
      <c r="J5" s="424">
        <v>3</v>
      </c>
    </row>
    <row r="6" spans="1:11" x14ac:dyDescent="0.25">
      <c r="A6" s="1" t="s">
        <v>352</v>
      </c>
      <c r="B6" s="1" t="s">
        <v>26</v>
      </c>
      <c r="C6" s="1" t="s">
        <v>373</v>
      </c>
      <c r="D6" s="1" t="s">
        <v>31</v>
      </c>
      <c r="E6" s="421">
        <v>1918029.89</v>
      </c>
      <c r="F6" s="421">
        <v>132</v>
      </c>
      <c r="G6" s="421">
        <v>117</v>
      </c>
      <c r="H6" s="421">
        <v>117</v>
      </c>
      <c r="I6" s="424" t="s">
        <v>31</v>
      </c>
      <c r="J6" s="424">
        <v>4</v>
      </c>
    </row>
    <row r="7" spans="1:11" x14ac:dyDescent="0.25">
      <c r="A7" s="1" t="s">
        <v>352</v>
      </c>
      <c r="B7" s="1" t="s">
        <v>26</v>
      </c>
      <c r="C7" s="1" t="s">
        <v>373</v>
      </c>
      <c r="D7" s="1" t="s">
        <v>32</v>
      </c>
      <c r="E7" s="4">
        <v>38493</v>
      </c>
      <c r="F7" s="4">
        <v>25</v>
      </c>
      <c r="G7" s="4">
        <v>24</v>
      </c>
      <c r="H7" s="4">
        <v>1</v>
      </c>
      <c r="I7" s="2"/>
    </row>
    <row r="8" spans="1:11" x14ac:dyDescent="0.25">
      <c r="A8" s="1" t="s">
        <v>352</v>
      </c>
      <c r="B8" s="1" t="s">
        <v>26</v>
      </c>
      <c r="C8" s="1" t="s">
        <v>373</v>
      </c>
      <c r="D8" s="1" t="s">
        <v>33</v>
      </c>
      <c r="E8" s="4">
        <v>0</v>
      </c>
      <c r="F8" s="4">
        <v>0</v>
      </c>
      <c r="G8" s="4">
        <v>0</v>
      </c>
      <c r="H8" s="4">
        <v>0</v>
      </c>
      <c r="I8" s="2"/>
    </row>
    <row r="9" spans="1:11" x14ac:dyDescent="0.25">
      <c r="A9" s="1" t="s">
        <v>352</v>
      </c>
      <c r="B9" s="1" t="s">
        <v>26</v>
      </c>
      <c r="C9" s="1" t="s">
        <v>373</v>
      </c>
      <c r="D9" s="1" t="s">
        <v>34</v>
      </c>
      <c r="E9" s="4">
        <v>0</v>
      </c>
      <c r="F9" s="4">
        <v>0</v>
      </c>
      <c r="G9" s="4">
        <v>0</v>
      </c>
      <c r="H9" s="4">
        <v>0</v>
      </c>
      <c r="I9" s="2"/>
    </row>
    <row r="10" spans="1:11" x14ac:dyDescent="0.25">
      <c r="A10" s="1" t="s">
        <v>352</v>
      </c>
      <c r="B10" s="1" t="s">
        <v>26</v>
      </c>
      <c r="C10" s="1" t="s">
        <v>373</v>
      </c>
      <c r="D10" s="1" t="s">
        <v>35</v>
      </c>
      <c r="E10" s="4">
        <v>0</v>
      </c>
      <c r="F10" s="4">
        <v>0</v>
      </c>
      <c r="G10" s="4">
        <v>0</v>
      </c>
      <c r="H10" s="4">
        <v>0</v>
      </c>
      <c r="I10" s="2"/>
    </row>
    <row r="11" spans="1:11" x14ac:dyDescent="0.25">
      <c r="A11" s="1" t="s">
        <v>352</v>
      </c>
      <c r="B11" s="1" t="s">
        <v>26</v>
      </c>
      <c r="C11" s="1" t="s">
        <v>373</v>
      </c>
      <c r="D11" s="1" t="s">
        <v>36</v>
      </c>
      <c r="E11" s="4">
        <v>0</v>
      </c>
      <c r="F11" s="4">
        <v>0</v>
      </c>
      <c r="G11" s="4">
        <v>0</v>
      </c>
      <c r="H11" s="4">
        <v>0</v>
      </c>
      <c r="I11" s="2"/>
    </row>
    <row r="12" spans="1:11" x14ac:dyDescent="0.25">
      <c r="A12" s="1" t="s">
        <v>352</v>
      </c>
      <c r="B12" s="1" t="s">
        <v>26</v>
      </c>
      <c r="C12" s="1" t="s">
        <v>373</v>
      </c>
      <c r="D12" s="1" t="s">
        <v>37</v>
      </c>
      <c r="E12" s="4">
        <v>0</v>
      </c>
      <c r="F12" s="4">
        <v>0</v>
      </c>
      <c r="G12" s="4">
        <v>0</v>
      </c>
      <c r="H12" s="4">
        <v>0</v>
      </c>
      <c r="I12" s="2"/>
    </row>
    <row r="13" spans="1:11" x14ac:dyDescent="0.25">
      <c r="A13" s="1" t="s">
        <v>352</v>
      </c>
      <c r="B13" s="1" t="s">
        <v>26</v>
      </c>
      <c r="C13" s="1" t="s">
        <v>373</v>
      </c>
      <c r="D13" s="1" t="s">
        <v>26</v>
      </c>
      <c r="E13" s="4">
        <v>0</v>
      </c>
      <c r="F13" s="4">
        <v>0</v>
      </c>
      <c r="G13" s="4">
        <v>0</v>
      </c>
      <c r="H13" s="4">
        <v>0</v>
      </c>
      <c r="I13" s="2"/>
    </row>
    <row r="14" spans="1:11" x14ac:dyDescent="0.25">
      <c r="A14" s="1" t="s">
        <v>352</v>
      </c>
      <c r="B14" s="1" t="s">
        <v>26</v>
      </c>
      <c r="C14" s="1" t="s">
        <v>373</v>
      </c>
      <c r="D14" s="1" t="s">
        <v>38</v>
      </c>
      <c r="E14" s="4">
        <v>0</v>
      </c>
      <c r="F14" s="4">
        <v>0</v>
      </c>
      <c r="G14" s="4">
        <v>0</v>
      </c>
      <c r="H14" s="4">
        <v>0</v>
      </c>
      <c r="I14" s="2"/>
    </row>
    <row r="15" spans="1:11" x14ac:dyDescent="0.25">
      <c r="A15" s="1" t="s">
        <v>352</v>
      </c>
      <c r="B15" s="1" t="s">
        <v>26</v>
      </c>
      <c r="C15" s="1" t="s">
        <v>373</v>
      </c>
      <c r="D15" s="1" t="s">
        <v>39</v>
      </c>
      <c r="E15" s="393">
        <v>289500</v>
      </c>
      <c r="F15" s="393">
        <v>33</v>
      </c>
      <c r="G15" s="393">
        <v>27</v>
      </c>
      <c r="H15" s="393">
        <v>27</v>
      </c>
      <c r="I15" s="213"/>
      <c r="J15" s="417">
        <v>7</v>
      </c>
      <c r="K15" s="204"/>
    </row>
    <row r="16" spans="1:11" x14ac:dyDescent="0.25">
      <c r="A16" s="1" t="s">
        <v>352</v>
      </c>
      <c r="B16" s="1" t="s">
        <v>26</v>
      </c>
      <c r="C16" s="1" t="s">
        <v>373</v>
      </c>
      <c r="D16" s="1" t="s">
        <v>40</v>
      </c>
      <c r="E16" s="4">
        <v>0</v>
      </c>
      <c r="F16" s="4">
        <v>0</v>
      </c>
      <c r="G16" s="4">
        <v>0</v>
      </c>
      <c r="H16" s="4">
        <v>0</v>
      </c>
      <c r="I16" s="2"/>
    </row>
    <row r="17" spans="1:12" x14ac:dyDescent="0.25">
      <c r="A17" s="1" t="s">
        <v>352</v>
      </c>
      <c r="B17" s="1" t="s">
        <v>26</v>
      </c>
      <c r="C17" s="1" t="s">
        <v>373</v>
      </c>
      <c r="D17" s="1" t="s">
        <v>41</v>
      </c>
      <c r="E17" s="4">
        <v>0</v>
      </c>
      <c r="F17" s="4">
        <v>0</v>
      </c>
      <c r="G17" s="4">
        <v>0</v>
      </c>
      <c r="H17" s="4">
        <v>0</v>
      </c>
      <c r="I17" s="2"/>
    </row>
    <row r="18" spans="1:12" x14ac:dyDescent="0.25">
      <c r="A18" s="1" t="s">
        <v>352</v>
      </c>
      <c r="B18" s="1" t="s">
        <v>26</v>
      </c>
      <c r="C18" s="1" t="s">
        <v>373</v>
      </c>
      <c r="D18" s="1" t="s">
        <v>42</v>
      </c>
      <c r="E18" s="4">
        <v>0</v>
      </c>
      <c r="F18" s="4">
        <v>0</v>
      </c>
      <c r="G18" s="4">
        <v>0</v>
      </c>
      <c r="H18" s="4">
        <v>0</v>
      </c>
      <c r="I18" s="2"/>
    </row>
    <row r="19" spans="1:12" x14ac:dyDescent="0.25">
      <c r="A19" s="1" t="s">
        <v>352</v>
      </c>
      <c r="B19" s="1" t="s">
        <v>26</v>
      </c>
      <c r="C19" s="1" t="s">
        <v>373</v>
      </c>
      <c r="D19" s="1" t="s">
        <v>43</v>
      </c>
      <c r="E19" s="4">
        <v>0</v>
      </c>
      <c r="F19" s="4">
        <v>0</v>
      </c>
      <c r="G19" s="4">
        <v>0</v>
      </c>
      <c r="H19" s="4">
        <v>0</v>
      </c>
      <c r="I19" s="2"/>
    </row>
    <row r="20" spans="1:12" x14ac:dyDescent="0.25">
      <c r="A20" s="1" t="s">
        <v>352</v>
      </c>
      <c r="B20" s="1" t="s">
        <v>26</v>
      </c>
      <c r="C20" s="1" t="s">
        <v>373</v>
      </c>
      <c r="D20" s="1" t="s">
        <v>44</v>
      </c>
      <c r="E20" s="421">
        <v>3225189.47</v>
      </c>
      <c r="F20" s="421">
        <v>108</v>
      </c>
      <c r="G20" s="421">
        <v>88</v>
      </c>
      <c r="H20" s="421">
        <v>85</v>
      </c>
      <c r="I20" s="424">
        <v>19</v>
      </c>
      <c r="J20" s="424">
        <v>5</v>
      </c>
    </row>
    <row r="21" spans="1:12" x14ac:dyDescent="0.25">
      <c r="A21" s="1" t="s">
        <v>352</v>
      </c>
      <c r="B21" s="1" t="s">
        <v>26</v>
      </c>
      <c r="C21" s="1" t="s">
        <v>373</v>
      </c>
      <c r="D21" s="1" t="s">
        <v>45</v>
      </c>
      <c r="E21" s="4">
        <v>0</v>
      </c>
      <c r="F21" s="4">
        <v>0</v>
      </c>
      <c r="G21" s="4">
        <v>0</v>
      </c>
      <c r="H21" s="4">
        <v>0</v>
      </c>
      <c r="I21" s="2"/>
    </row>
    <row r="22" spans="1:12" x14ac:dyDescent="0.25">
      <c r="A22" s="1" t="s">
        <v>352</v>
      </c>
      <c r="B22" s="1" t="s">
        <v>26</v>
      </c>
      <c r="C22" s="1" t="s">
        <v>373</v>
      </c>
      <c r="D22" s="1" t="s">
        <v>46</v>
      </c>
      <c r="E22" s="421">
        <v>3124458.74</v>
      </c>
      <c r="F22" s="421">
        <v>106</v>
      </c>
      <c r="G22" s="421">
        <v>58</v>
      </c>
      <c r="H22" s="421">
        <v>53</v>
      </c>
      <c r="I22" s="424" t="s">
        <v>46</v>
      </c>
      <c r="J22" s="424">
        <v>6</v>
      </c>
    </row>
    <row r="23" spans="1:12" x14ac:dyDescent="0.25">
      <c r="A23" s="1" t="s">
        <v>352</v>
      </c>
      <c r="B23" s="1" t="s">
        <v>26</v>
      </c>
      <c r="C23" s="1" t="s">
        <v>373</v>
      </c>
      <c r="D23" s="1" t="s">
        <v>47</v>
      </c>
      <c r="E23" s="4">
        <v>0</v>
      </c>
      <c r="F23" s="4">
        <v>0</v>
      </c>
      <c r="G23" s="4">
        <v>0</v>
      </c>
      <c r="H23" s="4">
        <v>0</v>
      </c>
    </row>
    <row r="24" spans="1:12" x14ac:dyDescent="0.25">
      <c r="A24" s="1" t="s">
        <v>352</v>
      </c>
      <c r="B24" s="1" t="s">
        <v>26</v>
      </c>
      <c r="C24" s="1" t="s">
        <v>373</v>
      </c>
      <c r="D24" s="1" t="s">
        <v>48</v>
      </c>
      <c r="E24" s="4">
        <v>0</v>
      </c>
      <c r="F24" s="4">
        <v>0</v>
      </c>
      <c r="G24" s="4">
        <v>0</v>
      </c>
      <c r="H24" s="4">
        <v>0</v>
      </c>
    </row>
    <row r="25" spans="1:12" x14ac:dyDescent="0.25">
      <c r="A25" s="1" t="s">
        <v>352</v>
      </c>
      <c r="B25" s="1" t="s">
        <v>26</v>
      </c>
      <c r="C25" s="1" t="s">
        <v>373</v>
      </c>
      <c r="D25" s="1" t="s">
        <v>354</v>
      </c>
      <c r="E25" s="4">
        <v>0</v>
      </c>
      <c r="F25" s="4">
        <v>0</v>
      </c>
      <c r="G25" s="4">
        <v>0</v>
      </c>
      <c r="H25" s="4">
        <v>0</v>
      </c>
    </row>
    <row r="26" spans="1:12" x14ac:dyDescent="0.25">
      <c r="A26" s="1" t="s">
        <v>352</v>
      </c>
      <c r="B26" s="1" t="s">
        <v>26</v>
      </c>
      <c r="C26" s="1" t="s">
        <v>373</v>
      </c>
      <c r="D26" s="1" t="s">
        <v>355</v>
      </c>
      <c r="E26" s="4">
        <v>0</v>
      </c>
      <c r="F26" s="4">
        <v>0</v>
      </c>
      <c r="G26" s="4">
        <v>0</v>
      </c>
      <c r="H26" s="4">
        <v>0</v>
      </c>
    </row>
    <row r="27" spans="1:12" x14ac:dyDescent="0.25">
      <c r="A27" s="1" t="s">
        <v>352</v>
      </c>
      <c r="B27" s="1" t="s">
        <v>26</v>
      </c>
      <c r="C27" s="1" t="s">
        <v>373</v>
      </c>
      <c r="D27" s="1" t="s">
        <v>356</v>
      </c>
      <c r="E27" s="4">
        <v>0</v>
      </c>
      <c r="F27" s="4">
        <v>0</v>
      </c>
      <c r="G27" s="4">
        <v>0</v>
      </c>
      <c r="H27" s="4">
        <v>0</v>
      </c>
    </row>
    <row r="28" spans="1:12" x14ac:dyDescent="0.25">
      <c r="A28" s="257" t="s">
        <v>352</v>
      </c>
      <c r="B28" s="257" t="s">
        <v>26</v>
      </c>
      <c r="C28" s="257" t="s">
        <v>373</v>
      </c>
      <c r="D28" s="257" t="s">
        <v>357</v>
      </c>
      <c r="E28" s="256">
        <v>33256220.440000001</v>
      </c>
      <c r="F28" s="256">
        <v>2910</v>
      </c>
      <c r="G28" s="256">
        <v>2120</v>
      </c>
      <c r="H28" s="256">
        <v>1868</v>
      </c>
    </row>
    <row r="29" spans="1:12" x14ac:dyDescent="0.25">
      <c r="A29" s="1" t="s">
        <v>352</v>
      </c>
      <c r="B29" s="1" t="s">
        <v>26</v>
      </c>
      <c r="C29" s="1" t="s">
        <v>373</v>
      </c>
      <c r="D29" s="1" t="s">
        <v>49</v>
      </c>
      <c r="E29" s="4">
        <v>300</v>
      </c>
      <c r="F29" s="4">
        <v>0</v>
      </c>
      <c r="G29" s="4">
        <v>0</v>
      </c>
      <c r="H29" s="4">
        <v>0</v>
      </c>
    </row>
    <row r="30" spans="1:12" x14ac:dyDescent="0.25">
      <c r="A30" s="1" t="s">
        <v>352</v>
      </c>
      <c r="B30" s="1" t="s">
        <v>26</v>
      </c>
      <c r="C30" s="1" t="s">
        <v>373</v>
      </c>
      <c r="D30" s="1" t="s">
        <v>50</v>
      </c>
      <c r="E30" s="4">
        <v>60</v>
      </c>
      <c r="F30" s="4">
        <v>0</v>
      </c>
      <c r="G30" s="4">
        <v>0</v>
      </c>
      <c r="H30" s="4">
        <v>0</v>
      </c>
    </row>
    <row r="31" spans="1:12" x14ac:dyDescent="0.25">
      <c r="D31" s="151" t="s">
        <v>93</v>
      </c>
      <c r="E31" s="152">
        <f>SUM(E3:E6,E20,E22)</f>
        <v>16300117.220000001</v>
      </c>
      <c r="F31" s="152">
        <f>SUM(F3:F6,F20,F22)</f>
        <v>1397</v>
      </c>
      <c r="G31" s="152">
        <f>SUM(G3:G6,G20,G22)</f>
        <v>1009</v>
      </c>
      <c r="H31" s="152">
        <f>SUM(H3:H6,H20,H22)</f>
        <v>906</v>
      </c>
      <c r="I31" s="212"/>
      <c r="J31" s="204"/>
      <c r="K31" s="393">
        <f>SUM(H31)/G31*100</f>
        <v>89.79187314172448</v>
      </c>
      <c r="L31" s="204"/>
    </row>
    <row r="32" spans="1:12" x14ac:dyDescent="0.25">
      <c r="D32" s="423" t="s">
        <v>105</v>
      </c>
      <c r="E32" s="421">
        <f>E3+E4+E5+E6+E20+E22</f>
        <v>16300117.220000001</v>
      </c>
      <c r="I32" s="212"/>
      <c r="J32" s="204"/>
      <c r="K32" s="204"/>
      <c r="L32" s="204"/>
    </row>
    <row r="33" spans="4:12" x14ac:dyDescent="0.25">
      <c r="D33"/>
      <c r="E33" s="4">
        <f>SUM(E3:E20,E22,E24:E27)</f>
        <v>16628110.220000001</v>
      </c>
      <c r="I33" s="212"/>
      <c r="J33" s="204"/>
      <c r="K33" s="204"/>
      <c r="L33" s="204"/>
    </row>
    <row r="34" spans="4:12" x14ac:dyDescent="0.25">
      <c r="D34" s="209" t="s">
        <v>295</v>
      </c>
      <c r="E34" s="210">
        <f>SUM(E3:E6,E15,E20,E22)</f>
        <v>16589617.220000001</v>
      </c>
      <c r="F34" s="210">
        <f>SUM(F3:F6,F15,F20,F22)</f>
        <v>1430</v>
      </c>
      <c r="G34" s="210">
        <f>SUM(G3:G6,G15,G20,G22)</f>
        <v>1036</v>
      </c>
      <c r="H34" s="210">
        <f>SUM(H3:H6,H15,H20,H22)</f>
        <v>933</v>
      </c>
      <c r="I34" s="212"/>
      <c r="J34" s="204"/>
      <c r="K34" s="393">
        <f>SUM(H34)/G34*100</f>
        <v>90.057915057915068</v>
      </c>
      <c r="L34" s="204"/>
    </row>
    <row r="35" spans="4:12" x14ac:dyDescent="0.25">
      <c r="D35" s="416" t="s">
        <v>105</v>
      </c>
      <c r="E35" s="393">
        <f>E3+E4+E5+E6+E15+E20+E22</f>
        <v>16589617.220000001</v>
      </c>
      <c r="F35" s="202"/>
      <c r="G35" s="202"/>
      <c r="H35" s="202"/>
    </row>
    <row r="36" spans="4:12" x14ac:dyDescent="0.25">
      <c r="D36" s="204"/>
      <c r="E36" s="205">
        <f>SUM(E3:E20,E22,E24:E27)</f>
        <v>16628110.220000001</v>
      </c>
      <c r="F36" s="202"/>
      <c r="G36" s="202"/>
      <c r="H36" s="202"/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Arkusz45">
    <tabColor theme="9" tint="0.59999389629810485"/>
  </sheetPr>
  <dimension ref="A1:K36"/>
  <sheetViews>
    <sheetView zoomScale="80" zoomScaleNormal="80" workbookViewId="0"/>
  </sheetViews>
  <sheetFormatPr defaultRowHeight="14.25" x14ac:dyDescent="0.2"/>
  <cols>
    <col min="1" max="3" width="9.140625" style="204"/>
    <col min="4" max="4" width="9.140625" style="202"/>
    <col min="5" max="5" width="14.28515625" style="204" customWidth="1"/>
    <col min="6" max="6" width="11.85546875" style="204" customWidth="1"/>
    <col min="7" max="7" width="11.7109375" style="204" customWidth="1"/>
    <col min="8" max="8" width="11.140625" style="204" customWidth="1"/>
    <col min="9" max="10" width="5.85546875" style="204" customWidth="1"/>
    <col min="11" max="16384" width="9.140625" style="204"/>
  </cols>
  <sheetData>
    <row r="1" spans="1:10" s="394" customFormat="1" x14ac:dyDescent="0.2">
      <c r="A1" s="392" t="s">
        <v>22</v>
      </c>
      <c r="B1" s="392" t="s">
        <v>23</v>
      </c>
      <c r="C1" s="392" t="s">
        <v>24</v>
      </c>
      <c r="D1" s="392" t="s">
        <v>25</v>
      </c>
      <c r="E1" s="393" t="s">
        <v>95</v>
      </c>
      <c r="F1" s="393" t="s">
        <v>53</v>
      </c>
      <c r="G1" s="393" t="s">
        <v>54</v>
      </c>
      <c r="H1" s="393" t="s">
        <v>94</v>
      </c>
    </row>
    <row r="2" spans="1:10" x14ac:dyDescent="0.2">
      <c r="A2" s="202" t="s">
        <v>352</v>
      </c>
      <c r="B2" s="202" t="s">
        <v>26</v>
      </c>
      <c r="C2" s="202" t="s">
        <v>374</v>
      </c>
      <c r="D2" s="202" t="s">
        <v>27</v>
      </c>
      <c r="E2" s="205">
        <v>12298325.52</v>
      </c>
      <c r="F2" s="205">
        <v>1277</v>
      </c>
      <c r="G2" s="205">
        <v>990</v>
      </c>
      <c r="H2" s="205">
        <v>847</v>
      </c>
    </row>
    <row r="3" spans="1:10" x14ac:dyDescent="0.2">
      <c r="A3" s="202" t="s">
        <v>352</v>
      </c>
      <c r="B3" s="202" t="s">
        <v>26</v>
      </c>
      <c r="C3" s="202" t="s">
        <v>374</v>
      </c>
      <c r="D3" s="202" t="s">
        <v>28</v>
      </c>
      <c r="E3" s="393">
        <v>3278219.33</v>
      </c>
      <c r="F3" s="393">
        <v>474</v>
      </c>
      <c r="G3" s="393">
        <v>296</v>
      </c>
      <c r="H3" s="393">
        <v>270</v>
      </c>
      <c r="I3" s="417" t="s">
        <v>28</v>
      </c>
      <c r="J3" s="417">
        <v>1</v>
      </c>
    </row>
    <row r="4" spans="1:10" x14ac:dyDescent="0.2">
      <c r="A4" s="202" t="s">
        <v>352</v>
      </c>
      <c r="B4" s="202" t="s">
        <v>26</v>
      </c>
      <c r="C4" s="202" t="s">
        <v>374</v>
      </c>
      <c r="D4" s="202" t="s">
        <v>29</v>
      </c>
      <c r="E4" s="393">
        <v>329751.36</v>
      </c>
      <c r="F4" s="393">
        <v>85</v>
      </c>
      <c r="G4" s="393">
        <v>70</v>
      </c>
      <c r="H4" s="393">
        <v>26</v>
      </c>
      <c r="I4" s="417" t="s">
        <v>29</v>
      </c>
      <c r="J4" s="417">
        <v>2</v>
      </c>
    </row>
    <row r="5" spans="1:10" x14ac:dyDescent="0.2">
      <c r="A5" s="202" t="s">
        <v>352</v>
      </c>
      <c r="B5" s="202" t="s">
        <v>26</v>
      </c>
      <c r="C5" s="202" t="s">
        <v>374</v>
      </c>
      <c r="D5" s="202" t="s">
        <v>30</v>
      </c>
      <c r="E5" s="393">
        <v>707878.57</v>
      </c>
      <c r="F5" s="393">
        <v>130</v>
      </c>
      <c r="G5" s="393">
        <v>83</v>
      </c>
      <c r="H5" s="393">
        <v>80</v>
      </c>
      <c r="I5" s="417" t="s">
        <v>30</v>
      </c>
      <c r="J5" s="417">
        <v>3</v>
      </c>
    </row>
    <row r="6" spans="1:10" x14ac:dyDescent="0.2">
      <c r="A6" s="202" t="s">
        <v>352</v>
      </c>
      <c r="B6" s="202" t="s">
        <v>26</v>
      </c>
      <c r="C6" s="202" t="s">
        <v>374</v>
      </c>
      <c r="D6" s="202" t="s">
        <v>31</v>
      </c>
      <c r="E6" s="393">
        <v>4237878.8499999996</v>
      </c>
      <c r="F6" s="393">
        <v>288</v>
      </c>
      <c r="G6" s="393">
        <v>279</v>
      </c>
      <c r="H6" s="393">
        <v>271</v>
      </c>
      <c r="I6" s="417" t="s">
        <v>31</v>
      </c>
      <c r="J6" s="417">
        <v>4</v>
      </c>
    </row>
    <row r="7" spans="1:10" x14ac:dyDescent="0.2">
      <c r="A7" s="202" t="s">
        <v>352</v>
      </c>
      <c r="B7" s="202" t="s">
        <v>26</v>
      </c>
      <c r="C7" s="202" t="s">
        <v>374</v>
      </c>
      <c r="D7" s="202" t="s">
        <v>32</v>
      </c>
      <c r="E7" s="205">
        <v>0</v>
      </c>
      <c r="F7" s="205">
        <v>0</v>
      </c>
      <c r="G7" s="205">
        <v>0</v>
      </c>
      <c r="H7" s="205">
        <v>0</v>
      </c>
      <c r="I7" s="206"/>
    </row>
    <row r="8" spans="1:10" x14ac:dyDescent="0.2">
      <c r="A8" s="202" t="s">
        <v>352</v>
      </c>
      <c r="B8" s="202" t="s">
        <v>26</v>
      </c>
      <c r="C8" s="202" t="s">
        <v>374</v>
      </c>
      <c r="D8" s="202" t="s">
        <v>33</v>
      </c>
      <c r="E8" s="205">
        <v>0</v>
      </c>
      <c r="F8" s="205">
        <v>0</v>
      </c>
      <c r="G8" s="205">
        <v>0</v>
      </c>
      <c r="H8" s="205">
        <v>0</v>
      </c>
      <c r="I8" s="206"/>
    </row>
    <row r="9" spans="1:10" x14ac:dyDescent="0.2">
      <c r="A9" s="202" t="s">
        <v>352</v>
      </c>
      <c r="B9" s="202" t="s">
        <v>26</v>
      </c>
      <c r="C9" s="202" t="s">
        <v>374</v>
      </c>
      <c r="D9" s="202" t="s">
        <v>34</v>
      </c>
      <c r="E9" s="205">
        <v>0</v>
      </c>
      <c r="F9" s="205">
        <v>0</v>
      </c>
      <c r="G9" s="205">
        <v>0</v>
      </c>
      <c r="H9" s="205">
        <v>0</v>
      </c>
      <c r="I9" s="206"/>
    </row>
    <row r="10" spans="1:10" x14ac:dyDescent="0.2">
      <c r="A10" s="202" t="s">
        <v>352</v>
      </c>
      <c r="B10" s="202" t="s">
        <v>26</v>
      </c>
      <c r="C10" s="202" t="s">
        <v>374</v>
      </c>
      <c r="D10" s="202" t="s">
        <v>35</v>
      </c>
      <c r="E10" s="205">
        <v>0</v>
      </c>
      <c r="F10" s="205">
        <v>0</v>
      </c>
      <c r="G10" s="205">
        <v>0</v>
      </c>
      <c r="H10" s="205">
        <v>0</v>
      </c>
      <c r="I10" s="206"/>
    </row>
    <row r="11" spans="1:10" x14ac:dyDescent="0.2">
      <c r="A11" s="202" t="s">
        <v>352</v>
      </c>
      <c r="B11" s="202" t="s">
        <v>26</v>
      </c>
      <c r="C11" s="202" t="s">
        <v>374</v>
      </c>
      <c r="D11" s="202" t="s">
        <v>36</v>
      </c>
      <c r="E11" s="205">
        <v>0</v>
      </c>
      <c r="F11" s="205">
        <v>0</v>
      </c>
      <c r="G11" s="205">
        <v>0</v>
      </c>
      <c r="H11" s="205">
        <v>0</v>
      </c>
      <c r="I11" s="206"/>
    </row>
    <row r="12" spans="1:10" x14ac:dyDescent="0.2">
      <c r="A12" s="202" t="s">
        <v>352</v>
      </c>
      <c r="B12" s="202" t="s">
        <v>26</v>
      </c>
      <c r="C12" s="202" t="s">
        <v>374</v>
      </c>
      <c r="D12" s="202" t="s">
        <v>37</v>
      </c>
      <c r="E12" s="205">
        <v>0</v>
      </c>
      <c r="F12" s="205">
        <v>0</v>
      </c>
      <c r="G12" s="205">
        <v>0</v>
      </c>
      <c r="H12" s="205">
        <v>0</v>
      </c>
      <c r="I12" s="206"/>
    </row>
    <row r="13" spans="1:10" x14ac:dyDescent="0.2">
      <c r="A13" s="202" t="s">
        <v>352</v>
      </c>
      <c r="B13" s="202" t="s">
        <v>26</v>
      </c>
      <c r="C13" s="202" t="s">
        <v>374</v>
      </c>
      <c r="D13" s="202" t="s">
        <v>26</v>
      </c>
      <c r="E13" s="205">
        <v>578556.31999999995</v>
      </c>
      <c r="F13" s="205">
        <v>127</v>
      </c>
      <c r="G13" s="205">
        <v>77</v>
      </c>
      <c r="H13" s="205">
        <v>21</v>
      </c>
      <c r="I13" s="206"/>
    </row>
    <row r="14" spans="1:10" x14ac:dyDescent="0.2">
      <c r="A14" s="202" t="s">
        <v>352</v>
      </c>
      <c r="B14" s="202" t="s">
        <v>26</v>
      </c>
      <c r="C14" s="202" t="s">
        <v>374</v>
      </c>
      <c r="D14" s="202" t="s">
        <v>38</v>
      </c>
      <c r="E14" s="205">
        <v>0</v>
      </c>
      <c r="F14" s="205">
        <v>0</v>
      </c>
      <c r="G14" s="205">
        <v>0</v>
      </c>
      <c r="H14" s="205">
        <v>0</v>
      </c>
      <c r="I14" s="206"/>
    </row>
    <row r="15" spans="1:10" x14ac:dyDescent="0.2">
      <c r="A15" s="202" t="s">
        <v>352</v>
      </c>
      <c r="B15" s="202" t="s">
        <v>26</v>
      </c>
      <c r="C15" s="202" t="s">
        <v>374</v>
      </c>
      <c r="D15" s="202" t="s">
        <v>39</v>
      </c>
      <c r="E15" s="393">
        <v>561566.81000000006</v>
      </c>
      <c r="F15" s="393">
        <v>69</v>
      </c>
      <c r="G15" s="393">
        <v>69</v>
      </c>
      <c r="H15" s="393">
        <v>63</v>
      </c>
      <c r="I15" s="213"/>
      <c r="J15" s="417">
        <v>7</v>
      </c>
    </row>
    <row r="16" spans="1:10" x14ac:dyDescent="0.2">
      <c r="A16" s="202" t="s">
        <v>352</v>
      </c>
      <c r="B16" s="202" t="s">
        <v>26</v>
      </c>
      <c r="C16" s="202" t="s">
        <v>374</v>
      </c>
      <c r="D16" s="202" t="s">
        <v>40</v>
      </c>
      <c r="E16" s="205">
        <v>76414.399999999994</v>
      </c>
      <c r="F16" s="205">
        <v>11</v>
      </c>
      <c r="G16" s="205">
        <v>7</v>
      </c>
      <c r="H16" s="205">
        <v>7</v>
      </c>
      <c r="I16" s="206"/>
    </row>
    <row r="17" spans="1:11" x14ac:dyDescent="0.2">
      <c r="A17" s="202" t="s">
        <v>352</v>
      </c>
      <c r="B17" s="202" t="s">
        <v>26</v>
      </c>
      <c r="C17" s="202" t="s">
        <v>374</v>
      </c>
      <c r="D17" s="202" t="s">
        <v>41</v>
      </c>
      <c r="E17" s="205">
        <v>0</v>
      </c>
      <c r="F17" s="205">
        <v>0</v>
      </c>
      <c r="G17" s="205">
        <v>0</v>
      </c>
      <c r="H17" s="205">
        <v>0</v>
      </c>
      <c r="I17" s="206"/>
    </row>
    <row r="18" spans="1:11" x14ac:dyDescent="0.2">
      <c r="A18" s="202" t="s">
        <v>352</v>
      </c>
      <c r="B18" s="202" t="s">
        <v>26</v>
      </c>
      <c r="C18" s="202" t="s">
        <v>374</v>
      </c>
      <c r="D18" s="202" t="s">
        <v>42</v>
      </c>
      <c r="E18" s="205">
        <v>0</v>
      </c>
      <c r="F18" s="205">
        <v>0</v>
      </c>
      <c r="G18" s="205">
        <v>0</v>
      </c>
      <c r="H18" s="205">
        <v>0</v>
      </c>
      <c r="I18" s="206"/>
    </row>
    <row r="19" spans="1:11" x14ac:dyDescent="0.2">
      <c r="A19" s="202" t="s">
        <v>352</v>
      </c>
      <c r="B19" s="202" t="s">
        <v>26</v>
      </c>
      <c r="C19" s="202" t="s">
        <v>374</v>
      </c>
      <c r="D19" s="202" t="s">
        <v>43</v>
      </c>
      <c r="E19" s="205">
        <v>0</v>
      </c>
      <c r="F19" s="205">
        <v>0</v>
      </c>
      <c r="G19" s="205">
        <v>0</v>
      </c>
      <c r="H19" s="205">
        <v>0</v>
      </c>
      <c r="I19" s="206"/>
    </row>
    <row r="20" spans="1:11" x14ac:dyDescent="0.2">
      <c r="A20" s="202" t="s">
        <v>352</v>
      </c>
      <c r="B20" s="202" t="s">
        <v>26</v>
      </c>
      <c r="C20" s="202" t="s">
        <v>374</v>
      </c>
      <c r="D20" s="202" t="s">
        <v>44</v>
      </c>
      <c r="E20" s="393">
        <v>1398753.41</v>
      </c>
      <c r="F20" s="393">
        <v>54</v>
      </c>
      <c r="G20" s="393">
        <v>71</v>
      </c>
      <c r="H20" s="393">
        <v>71</v>
      </c>
      <c r="I20" s="417">
        <v>19</v>
      </c>
      <c r="J20" s="417">
        <v>5</v>
      </c>
    </row>
    <row r="21" spans="1:11" x14ac:dyDescent="0.2">
      <c r="A21" s="202" t="s">
        <v>352</v>
      </c>
      <c r="B21" s="202" t="s">
        <v>26</v>
      </c>
      <c r="C21" s="202" t="s">
        <v>374</v>
      </c>
      <c r="D21" s="202" t="s">
        <v>45</v>
      </c>
      <c r="E21" s="205">
        <v>0</v>
      </c>
      <c r="F21" s="205">
        <v>0</v>
      </c>
      <c r="G21" s="205">
        <v>0</v>
      </c>
      <c r="H21" s="205">
        <v>0</v>
      </c>
      <c r="I21" s="206"/>
    </row>
    <row r="22" spans="1:11" x14ac:dyDescent="0.2">
      <c r="A22" s="202" t="s">
        <v>352</v>
      </c>
      <c r="B22" s="202" t="s">
        <v>26</v>
      </c>
      <c r="C22" s="202" t="s">
        <v>374</v>
      </c>
      <c r="D22" s="202" t="s">
        <v>46</v>
      </c>
      <c r="E22" s="393">
        <v>1099306.47</v>
      </c>
      <c r="F22" s="393">
        <v>38</v>
      </c>
      <c r="G22" s="393">
        <v>38</v>
      </c>
      <c r="H22" s="393">
        <v>38</v>
      </c>
      <c r="I22" s="417" t="s">
        <v>46</v>
      </c>
      <c r="J22" s="417">
        <v>6</v>
      </c>
    </row>
    <row r="23" spans="1:11" x14ac:dyDescent="0.2">
      <c r="A23" s="202" t="s">
        <v>352</v>
      </c>
      <c r="B23" s="202" t="s">
        <v>26</v>
      </c>
      <c r="C23" s="202" t="s">
        <v>374</v>
      </c>
      <c r="D23" s="202" t="s">
        <v>47</v>
      </c>
      <c r="E23" s="205">
        <v>0</v>
      </c>
      <c r="F23" s="205">
        <v>0</v>
      </c>
      <c r="G23" s="205">
        <v>0</v>
      </c>
      <c r="H23" s="205">
        <v>0</v>
      </c>
    </row>
    <row r="24" spans="1:11" x14ac:dyDescent="0.2">
      <c r="A24" s="202" t="s">
        <v>352</v>
      </c>
      <c r="B24" s="202" t="s">
        <v>26</v>
      </c>
      <c r="C24" s="202" t="s">
        <v>374</v>
      </c>
      <c r="D24" s="202" t="s">
        <v>48</v>
      </c>
      <c r="E24" s="205">
        <v>0</v>
      </c>
      <c r="F24" s="205">
        <v>0</v>
      </c>
      <c r="G24" s="205">
        <v>0</v>
      </c>
      <c r="H24" s="205">
        <v>0</v>
      </c>
    </row>
    <row r="25" spans="1:11" x14ac:dyDescent="0.2">
      <c r="A25" s="202" t="s">
        <v>352</v>
      </c>
      <c r="B25" s="202" t="s">
        <v>26</v>
      </c>
      <c r="C25" s="202" t="s">
        <v>374</v>
      </c>
      <c r="D25" s="202" t="s">
        <v>354</v>
      </c>
      <c r="E25" s="205">
        <v>0</v>
      </c>
      <c r="F25" s="205">
        <v>0</v>
      </c>
      <c r="G25" s="205">
        <v>0</v>
      </c>
      <c r="H25" s="205">
        <v>0</v>
      </c>
    </row>
    <row r="26" spans="1:11" x14ac:dyDescent="0.2">
      <c r="A26" s="202" t="s">
        <v>352</v>
      </c>
      <c r="B26" s="202" t="s">
        <v>26</v>
      </c>
      <c r="C26" s="202" t="s">
        <v>374</v>
      </c>
      <c r="D26" s="202" t="s">
        <v>355</v>
      </c>
      <c r="E26" s="205">
        <v>0</v>
      </c>
      <c r="F26" s="205">
        <v>0</v>
      </c>
      <c r="G26" s="205">
        <v>0</v>
      </c>
      <c r="H26" s="205">
        <v>0</v>
      </c>
    </row>
    <row r="27" spans="1:11" x14ac:dyDescent="0.2">
      <c r="A27" s="202" t="s">
        <v>352</v>
      </c>
      <c r="B27" s="202" t="s">
        <v>26</v>
      </c>
      <c r="C27" s="202" t="s">
        <v>374</v>
      </c>
      <c r="D27" s="202" t="s">
        <v>356</v>
      </c>
      <c r="E27" s="205">
        <v>30000</v>
      </c>
      <c r="F27" s="205">
        <v>1</v>
      </c>
      <c r="G27" s="205">
        <v>0</v>
      </c>
      <c r="H27" s="205">
        <v>0</v>
      </c>
    </row>
    <row r="28" spans="1:11" x14ac:dyDescent="0.2">
      <c r="A28" s="254" t="s">
        <v>352</v>
      </c>
      <c r="B28" s="254" t="s">
        <v>26</v>
      </c>
      <c r="C28" s="254" t="s">
        <v>374</v>
      </c>
      <c r="D28" s="254" t="s">
        <v>357</v>
      </c>
      <c r="E28" s="255">
        <v>24596651.039999999</v>
      </c>
      <c r="F28" s="255">
        <v>2554</v>
      </c>
      <c r="G28" s="255">
        <v>1980</v>
      </c>
      <c r="H28" s="255">
        <v>1694</v>
      </c>
    </row>
    <row r="29" spans="1:11" x14ac:dyDescent="0.2">
      <c r="A29" s="202" t="s">
        <v>352</v>
      </c>
      <c r="B29" s="202" t="s">
        <v>26</v>
      </c>
      <c r="C29" s="202" t="s">
        <v>374</v>
      </c>
      <c r="D29" s="202" t="s">
        <v>49</v>
      </c>
      <c r="E29" s="205">
        <v>300</v>
      </c>
      <c r="F29" s="205">
        <v>0</v>
      </c>
      <c r="G29" s="205">
        <v>0</v>
      </c>
      <c r="H29" s="205">
        <v>0</v>
      </c>
    </row>
    <row r="30" spans="1:11" x14ac:dyDescent="0.2">
      <c r="A30" s="202" t="s">
        <v>352</v>
      </c>
      <c r="B30" s="202" t="s">
        <v>26</v>
      </c>
      <c r="C30" s="202" t="s">
        <v>374</v>
      </c>
      <c r="D30" s="202" t="s">
        <v>50</v>
      </c>
      <c r="E30" s="205">
        <v>20</v>
      </c>
      <c r="F30" s="205">
        <v>0</v>
      </c>
      <c r="G30" s="205">
        <v>0</v>
      </c>
      <c r="H30" s="205">
        <v>0</v>
      </c>
    </row>
    <row r="31" spans="1:11" x14ac:dyDescent="0.2">
      <c r="D31" s="209" t="s">
        <v>93</v>
      </c>
      <c r="E31" s="210">
        <f>SUM(E3:E6,E20,E22)</f>
        <v>11051787.99</v>
      </c>
      <c r="F31" s="210">
        <f>SUM(F3:F6,F20,F22)</f>
        <v>1069</v>
      </c>
      <c r="G31" s="210">
        <f>SUM(G3:G6,G20,G22)</f>
        <v>837</v>
      </c>
      <c r="H31" s="210">
        <f>SUM(H3:H6,H20,H22)</f>
        <v>756</v>
      </c>
      <c r="I31" s="212"/>
      <c r="K31" s="393">
        <f>SUM(H31)/G31*100</f>
        <v>90.322580645161281</v>
      </c>
    </row>
    <row r="32" spans="1:11" x14ac:dyDescent="0.2">
      <c r="D32" s="418" t="s">
        <v>105</v>
      </c>
      <c r="E32" s="419">
        <f>E3+E4+E5+E6+E20+E22</f>
        <v>11051787.99</v>
      </c>
      <c r="I32" s="212"/>
    </row>
    <row r="33" spans="4:11" x14ac:dyDescent="0.2">
      <c r="D33" s="204"/>
      <c r="E33" s="205">
        <f>SUM(E3:E20,E22,E24:E27)</f>
        <v>12298325.520000001</v>
      </c>
      <c r="I33" s="212"/>
    </row>
    <row r="34" spans="4:11" x14ac:dyDescent="0.2">
      <c r="D34" s="209" t="s">
        <v>295</v>
      </c>
      <c r="E34" s="210">
        <f>SUM(E3:E6,E15,E20,E22)</f>
        <v>11613354.800000001</v>
      </c>
      <c r="F34" s="210">
        <f>SUM(F3:F6,F15,F20,F22)</f>
        <v>1138</v>
      </c>
      <c r="G34" s="210">
        <f>SUM(G3:G6,G15,G20,G22)</f>
        <v>906</v>
      </c>
      <c r="H34" s="210">
        <f>SUM(H3:H6,H15,H20,H22)</f>
        <v>819</v>
      </c>
      <c r="I34" s="212"/>
      <c r="K34" s="393">
        <f>SUM(H34)/G34*100</f>
        <v>90.397350993377472</v>
      </c>
    </row>
    <row r="35" spans="4:11" x14ac:dyDescent="0.2">
      <c r="D35" s="418" t="s">
        <v>105</v>
      </c>
      <c r="E35" s="419">
        <f>E3+E4+E5+E6+E15+E20+E22</f>
        <v>11613354.800000001</v>
      </c>
      <c r="F35" s="202"/>
      <c r="G35" s="202"/>
      <c r="H35" s="202"/>
    </row>
    <row r="36" spans="4:11" x14ac:dyDescent="0.2">
      <c r="D36" s="204"/>
      <c r="E36" s="205">
        <f>SUM(E3:E20,E22,E24:E27)</f>
        <v>12298325.520000001</v>
      </c>
      <c r="F36" s="202"/>
      <c r="G36" s="202"/>
      <c r="H36" s="202"/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Arkusz46">
    <tabColor theme="9" tint="0.59999389629810485"/>
  </sheetPr>
  <dimension ref="A1:K36"/>
  <sheetViews>
    <sheetView zoomScale="80" zoomScaleNormal="80" workbookViewId="0"/>
  </sheetViews>
  <sheetFormatPr defaultRowHeight="14.25" x14ac:dyDescent="0.2"/>
  <cols>
    <col min="1" max="3" width="9.140625" style="204"/>
    <col min="4" max="4" width="9.140625" style="202"/>
    <col min="5" max="5" width="13.28515625" style="204" customWidth="1"/>
    <col min="6" max="6" width="11.85546875" style="204" customWidth="1"/>
    <col min="7" max="7" width="11.7109375" style="204" customWidth="1"/>
    <col min="8" max="8" width="11.140625" style="204" customWidth="1"/>
    <col min="9" max="10" width="5.85546875" style="204" customWidth="1"/>
    <col min="11" max="16384" width="9.140625" style="204"/>
  </cols>
  <sheetData>
    <row r="1" spans="1:10" s="394" customFormat="1" x14ac:dyDescent="0.2">
      <c r="A1" s="392" t="s">
        <v>22</v>
      </c>
      <c r="B1" s="392" t="s">
        <v>23</v>
      </c>
      <c r="C1" s="392" t="s">
        <v>24</v>
      </c>
      <c r="D1" s="392" t="s">
        <v>25</v>
      </c>
      <c r="E1" s="393" t="s">
        <v>95</v>
      </c>
      <c r="F1" s="393" t="s">
        <v>53</v>
      </c>
      <c r="G1" s="393" t="s">
        <v>54</v>
      </c>
      <c r="H1" s="393" t="s">
        <v>94</v>
      </c>
    </row>
    <row r="2" spans="1:10" x14ac:dyDescent="0.2">
      <c r="A2" s="202" t="s">
        <v>352</v>
      </c>
      <c r="B2" s="202" t="s">
        <v>26</v>
      </c>
      <c r="C2" s="202" t="s">
        <v>375</v>
      </c>
      <c r="D2" s="202" t="s">
        <v>27</v>
      </c>
      <c r="E2" s="205">
        <v>6570109.7800000003</v>
      </c>
      <c r="F2" s="205">
        <v>449</v>
      </c>
      <c r="G2" s="205">
        <v>317</v>
      </c>
      <c r="H2" s="205">
        <v>272</v>
      </c>
    </row>
    <row r="3" spans="1:10" x14ac:dyDescent="0.2">
      <c r="A3" s="202" t="s">
        <v>352</v>
      </c>
      <c r="B3" s="202" t="s">
        <v>26</v>
      </c>
      <c r="C3" s="202" t="s">
        <v>375</v>
      </c>
      <c r="D3" s="202" t="s">
        <v>28</v>
      </c>
      <c r="E3" s="393">
        <v>1259166.98</v>
      </c>
      <c r="F3" s="393">
        <v>170</v>
      </c>
      <c r="G3" s="393">
        <v>113</v>
      </c>
      <c r="H3" s="393">
        <v>94</v>
      </c>
      <c r="I3" s="417" t="s">
        <v>28</v>
      </c>
      <c r="J3" s="417">
        <v>1</v>
      </c>
    </row>
    <row r="4" spans="1:10" x14ac:dyDescent="0.2">
      <c r="A4" s="202" t="s">
        <v>352</v>
      </c>
      <c r="B4" s="202" t="s">
        <v>26</v>
      </c>
      <c r="C4" s="202" t="s">
        <v>375</v>
      </c>
      <c r="D4" s="202" t="s">
        <v>29</v>
      </c>
      <c r="E4" s="393">
        <v>49985.68</v>
      </c>
      <c r="F4" s="393">
        <v>11</v>
      </c>
      <c r="G4" s="393">
        <v>10</v>
      </c>
      <c r="H4" s="393">
        <v>9</v>
      </c>
      <c r="I4" s="417" t="s">
        <v>29</v>
      </c>
      <c r="J4" s="417">
        <v>2</v>
      </c>
    </row>
    <row r="5" spans="1:10" x14ac:dyDescent="0.2">
      <c r="A5" s="202" t="s">
        <v>352</v>
      </c>
      <c r="B5" s="202" t="s">
        <v>26</v>
      </c>
      <c r="C5" s="202" t="s">
        <v>375</v>
      </c>
      <c r="D5" s="202" t="s">
        <v>30</v>
      </c>
      <c r="E5" s="393">
        <v>206353.78</v>
      </c>
      <c r="F5" s="393">
        <v>43</v>
      </c>
      <c r="G5" s="393">
        <v>37</v>
      </c>
      <c r="H5" s="393">
        <v>35</v>
      </c>
      <c r="I5" s="417" t="s">
        <v>30</v>
      </c>
      <c r="J5" s="417">
        <v>3</v>
      </c>
    </row>
    <row r="6" spans="1:10" x14ac:dyDescent="0.2">
      <c r="A6" s="202" t="s">
        <v>352</v>
      </c>
      <c r="B6" s="202" t="s">
        <v>26</v>
      </c>
      <c r="C6" s="202" t="s">
        <v>375</v>
      </c>
      <c r="D6" s="202" t="s">
        <v>31</v>
      </c>
      <c r="E6" s="393">
        <v>643098.05000000005</v>
      </c>
      <c r="F6" s="393">
        <v>46</v>
      </c>
      <c r="G6" s="393">
        <v>36</v>
      </c>
      <c r="H6" s="393">
        <v>30</v>
      </c>
      <c r="I6" s="417" t="s">
        <v>31</v>
      </c>
      <c r="J6" s="417">
        <v>4</v>
      </c>
    </row>
    <row r="7" spans="1:10" x14ac:dyDescent="0.2">
      <c r="A7" s="202" t="s">
        <v>352</v>
      </c>
      <c r="B7" s="202" t="s">
        <v>26</v>
      </c>
      <c r="C7" s="202" t="s">
        <v>375</v>
      </c>
      <c r="D7" s="202" t="s">
        <v>32</v>
      </c>
      <c r="E7" s="205">
        <v>0</v>
      </c>
      <c r="F7" s="205">
        <v>0</v>
      </c>
      <c r="G7" s="205">
        <v>0</v>
      </c>
      <c r="H7" s="205">
        <v>0</v>
      </c>
      <c r="I7" s="206"/>
    </row>
    <row r="8" spans="1:10" x14ac:dyDescent="0.2">
      <c r="A8" s="202" t="s">
        <v>352</v>
      </c>
      <c r="B8" s="202" t="s">
        <v>26</v>
      </c>
      <c r="C8" s="202" t="s">
        <v>375</v>
      </c>
      <c r="D8" s="202" t="s">
        <v>33</v>
      </c>
      <c r="E8" s="205">
        <v>0</v>
      </c>
      <c r="F8" s="205">
        <v>0</v>
      </c>
      <c r="G8" s="205">
        <v>0</v>
      </c>
      <c r="H8" s="205">
        <v>0</v>
      </c>
      <c r="I8" s="206"/>
    </row>
    <row r="9" spans="1:10" x14ac:dyDescent="0.2">
      <c r="A9" s="202" t="s">
        <v>352</v>
      </c>
      <c r="B9" s="202" t="s">
        <v>26</v>
      </c>
      <c r="C9" s="202" t="s">
        <v>375</v>
      </c>
      <c r="D9" s="202" t="s">
        <v>34</v>
      </c>
      <c r="E9" s="205">
        <v>28568.53</v>
      </c>
      <c r="F9" s="205">
        <v>5</v>
      </c>
      <c r="G9" s="205">
        <v>1</v>
      </c>
      <c r="H9" s="205">
        <v>0</v>
      </c>
      <c r="I9" s="206"/>
    </row>
    <row r="10" spans="1:10" x14ac:dyDescent="0.2">
      <c r="A10" s="202" t="s">
        <v>352</v>
      </c>
      <c r="B10" s="202" t="s">
        <v>26</v>
      </c>
      <c r="C10" s="202" t="s">
        <v>375</v>
      </c>
      <c r="D10" s="202" t="s">
        <v>35</v>
      </c>
      <c r="E10" s="205">
        <v>0</v>
      </c>
      <c r="F10" s="205">
        <v>0</v>
      </c>
      <c r="G10" s="205">
        <v>0</v>
      </c>
      <c r="H10" s="205">
        <v>0</v>
      </c>
      <c r="I10" s="206"/>
    </row>
    <row r="11" spans="1:10" x14ac:dyDescent="0.2">
      <c r="A11" s="202" t="s">
        <v>352</v>
      </c>
      <c r="B11" s="202" t="s">
        <v>26</v>
      </c>
      <c r="C11" s="202" t="s">
        <v>375</v>
      </c>
      <c r="D11" s="202" t="s">
        <v>36</v>
      </c>
      <c r="E11" s="205">
        <v>0</v>
      </c>
      <c r="F11" s="205">
        <v>0</v>
      </c>
      <c r="G11" s="205">
        <v>0</v>
      </c>
      <c r="H11" s="205">
        <v>0</v>
      </c>
      <c r="I11" s="206"/>
    </row>
    <row r="12" spans="1:10" x14ac:dyDescent="0.2">
      <c r="A12" s="202" t="s">
        <v>352</v>
      </c>
      <c r="B12" s="202" t="s">
        <v>26</v>
      </c>
      <c r="C12" s="202" t="s">
        <v>375</v>
      </c>
      <c r="D12" s="202" t="s">
        <v>37</v>
      </c>
      <c r="E12" s="205">
        <v>0</v>
      </c>
      <c r="F12" s="205">
        <v>0</v>
      </c>
      <c r="G12" s="205">
        <v>0</v>
      </c>
      <c r="H12" s="205">
        <v>0</v>
      </c>
      <c r="I12" s="206"/>
    </row>
    <row r="13" spans="1:10" x14ac:dyDescent="0.2">
      <c r="A13" s="202" t="s">
        <v>352</v>
      </c>
      <c r="B13" s="202" t="s">
        <v>26</v>
      </c>
      <c r="C13" s="202" t="s">
        <v>375</v>
      </c>
      <c r="D13" s="202" t="s">
        <v>26</v>
      </c>
      <c r="E13" s="205">
        <v>0</v>
      </c>
      <c r="F13" s="205">
        <v>0</v>
      </c>
      <c r="G13" s="205">
        <v>0</v>
      </c>
      <c r="H13" s="205">
        <v>0</v>
      </c>
      <c r="I13" s="206"/>
    </row>
    <row r="14" spans="1:10" x14ac:dyDescent="0.2">
      <c r="A14" s="202" t="s">
        <v>352</v>
      </c>
      <c r="B14" s="202" t="s">
        <v>26</v>
      </c>
      <c r="C14" s="202" t="s">
        <v>375</v>
      </c>
      <c r="D14" s="202" t="s">
        <v>38</v>
      </c>
      <c r="E14" s="205">
        <v>25477.759999999998</v>
      </c>
      <c r="F14" s="205">
        <v>2</v>
      </c>
      <c r="G14" s="205">
        <v>1</v>
      </c>
      <c r="H14" s="205">
        <v>1</v>
      </c>
      <c r="I14" s="206"/>
    </row>
    <row r="15" spans="1:10" x14ac:dyDescent="0.2">
      <c r="A15" s="202" t="s">
        <v>352</v>
      </c>
      <c r="B15" s="202" t="s">
        <v>26</v>
      </c>
      <c r="C15" s="202" t="s">
        <v>375</v>
      </c>
      <c r="D15" s="202" t="s">
        <v>39</v>
      </c>
      <c r="E15" s="393">
        <v>524500</v>
      </c>
      <c r="F15" s="393">
        <v>48</v>
      </c>
      <c r="G15" s="393">
        <v>39</v>
      </c>
      <c r="H15" s="393">
        <v>35</v>
      </c>
      <c r="I15" s="213"/>
      <c r="J15" s="417">
        <v>7</v>
      </c>
    </row>
    <row r="16" spans="1:10" x14ac:dyDescent="0.2">
      <c r="A16" s="202" t="s">
        <v>352</v>
      </c>
      <c r="B16" s="202" t="s">
        <v>26</v>
      </c>
      <c r="C16" s="202" t="s">
        <v>375</v>
      </c>
      <c r="D16" s="202" t="s">
        <v>40</v>
      </c>
      <c r="E16" s="205">
        <v>0</v>
      </c>
      <c r="F16" s="205">
        <v>0</v>
      </c>
      <c r="G16" s="205">
        <v>0</v>
      </c>
      <c r="H16" s="205">
        <v>0</v>
      </c>
      <c r="I16" s="206"/>
      <c r="J16" s="117"/>
    </row>
    <row r="17" spans="1:11" x14ac:dyDescent="0.2">
      <c r="A17" s="202" t="s">
        <v>352</v>
      </c>
      <c r="B17" s="202" t="s">
        <v>26</v>
      </c>
      <c r="C17" s="202" t="s">
        <v>375</v>
      </c>
      <c r="D17" s="202" t="s">
        <v>41</v>
      </c>
      <c r="E17" s="205">
        <v>0</v>
      </c>
      <c r="F17" s="205">
        <v>0</v>
      </c>
      <c r="G17" s="205">
        <v>0</v>
      </c>
      <c r="H17" s="205">
        <v>0</v>
      </c>
      <c r="I17" s="206"/>
    </row>
    <row r="18" spans="1:11" x14ac:dyDescent="0.2">
      <c r="A18" s="202" t="s">
        <v>352</v>
      </c>
      <c r="B18" s="202" t="s">
        <v>26</v>
      </c>
      <c r="C18" s="202" t="s">
        <v>375</v>
      </c>
      <c r="D18" s="202" t="s">
        <v>42</v>
      </c>
      <c r="E18" s="205">
        <v>0</v>
      </c>
      <c r="F18" s="205">
        <v>0</v>
      </c>
      <c r="G18" s="205">
        <v>0</v>
      </c>
      <c r="H18" s="205">
        <v>0</v>
      </c>
      <c r="I18" s="206"/>
    </row>
    <row r="19" spans="1:11" x14ac:dyDescent="0.2">
      <c r="A19" s="202" t="s">
        <v>352</v>
      </c>
      <c r="B19" s="202" t="s">
        <v>26</v>
      </c>
      <c r="C19" s="202" t="s">
        <v>375</v>
      </c>
      <c r="D19" s="202" t="s">
        <v>43</v>
      </c>
      <c r="E19" s="205">
        <v>0</v>
      </c>
      <c r="F19" s="205">
        <v>0</v>
      </c>
      <c r="G19" s="205">
        <v>0</v>
      </c>
      <c r="H19" s="205">
        <v>0</v>
      </c>
      <c r="I19" s="206"/>
    </row>
    <row r="20" spans="1:11" x14ac:dyDescent="0.2">
      <c r="A20" s="202" t="s">
        <v>352</v>
      </c>
      <c r="B20" s="202" t="s">
        <v>26</v>
      </c>
      <c r="C20" s="202" t="s">
        <v>375</v>
      </c>
      <c r="D20" s="202" t="s">
        <v>44</v>
      </c>
      <c r="E20" s="393">
        <v>2556267.1800000002</v>
      </c>
      <c r="F20" s="393">
        <v>83</v>
      </c>
      <c r="G20" s="393">
        <v>70</v>
      </c>
      <c r="H20" s="393">
        <v>58</v>
      </c>
      <c r="I20" s="417">
        <v>19</v>
      </c>
      <c r="J20" s="417">
        <v>5</v>
      </c>
    </row>
    <row r="21" spans="1:11" x14ac:dyDescent="0.2">
      <c r="A21" s="202" t="s">
        <v>352</v>
      </c>
      <c r="B21" s="202" t="s">
        <v>26</v>
      </c>
      <c r="C21" s="202" t="s">
        <v>375</v>
      </c>
      <c r="D21" s="202" t="s">
        <v>45</v>
      </c>
      <c r="E21" s="205">
        <v>0</v>
      </c>
      <c r="F21" s="205">
        <v>0</v>
      </c>
      <c r="G21" s="205">
        <v>0</v>
      </c>
      <c r="H21" s="205">
        <v>0</v>
      </c>
      <c r="I21" s="206"/>
    </row>
    <row r="22" spans="1:11" x14ac:dyDescent="0.2">
      <c r="A22" s="202" t="s">
        <v>352</v>
      </c>
      <c r="B22" s="202" t="s">
        <v>26</v>
      </c>
      <c r="C22" s="202" t="s">
        <v>375</v>
      </c>
      <c r="D22" s="202" t="s">
        <v>46</v>
      </c>
      <c r="E22" s="393">
        <v>1276691.82</v>
      </c>
      <c r="F22" s="393">
        <v>41</v>
      </c>
      <c r="G22" s="393">
        <v>10</v>
      </c>
      <c r="H22" s="393">
        <v>10</v>
      </c>
      <c r="I22" s="417" t="s">
        <v>46</v>
      </c>
      <c r="J22" s="417">
        <v>6</v>
      </c>
    </row>
    <row r="23" spans="1:11" x14ac:dyDescent="0.2">
      <c r="A23" s="202" t="s">
        <v>352</v>
      </c>
      <c r="B23" s="202" t="s">
        <v>26</v>
      </c>
      <c r="C23" s="202" t="s">
        <v>375</v>
      </c>
      <c r="D23" s="202" t="s">
        <v>47</v>
      </c>
      <c r="E23" s="205">
        <v>0</v>
      </c>
      <c r="F23" s="205">
        <v>0</v>
      </c>
      <c r="G23" s="205">
        <v>0</v>
      </c>
      <c r="H23" s="205">
        <v>0</v>
      </c>
    </row>
    <row r="24" spans="1:11" x14ac:dyDescent="0.2">
      <c r="A24" s="202" t="s">
        <v>352</v>
      </c>
      <c r="B24" s="202" t="s">
        <v>26</v>
      </c>
      <c r="C24" s="202" t="s">
        <v>375</v>
      </c>
      <c r="D24" s="202" t="s">
        <v>48</v>
      </c>
      <c r="E24" s="205">
        <v>0</v>
      </c>
      <c r="F24" s="205">
        <v>0</v>
      </c>
      <c r="G24" s="205">
        <v>0</v>
      </c>
      <c r="H24" s="205">
        <v>0</v>
      </c>
    </row>
    <row r="25" spans="1:11" x14ac:dyDescent="0.2">
      <c r="A25" s="202" t="s">
        <v>352</v>
      </c>
      <c r="B25" s="202" t="s">
        <v>26</v>
      </c>
      <c r="C25" s="202" t="s">
        <v>375</v>
      </c>
      <c r="D25" s="202" t="s">
        <v>354</v>
      </c>
      <c r="E25" s="205">
        <v>0</v>
      </c>
      <c r="F25" s="205">
        <v>0</v>
      </c>
      <c r="G25" s="205">
        <v>0</v>
      </c>
      <c r="H25" s="205">
        <v>0</v>
      </c>
    </row>
    <row r="26" spans="1:11" x14ac:dyDescent="0.2">
      <c r="A26" s="202" t="s">
        <v>352</v>
      </c>
      <c r="B26" s="202" t="s">
        <v>26</v>
      </c>
      <c r="C26" s="202" t="s">
        <v>375</v>
      </c>
      <c r="D26" s="202" t="s">
        <v>355</v>
      </c>
      <c r="E26" s="205">
        <v>0</v>
      </c>
      <c r="F26" s="205">
        <v>0</v>
      </c>
      <c r="G26" s="205">
        <v>0</v>
      </c>
      <c r="H26" s="205">
        <v>0</v>
      </c>
    </row>
    <row r="27" spans="1:11" x14ac:dyDescent="0.2">
      <c r="A27" s="202" t="s">
        <v>352</v>
      </c>
      <c r="B27" s="202" t="s">
        <v>26</v>
      </c>
      <c r="C27" s="202" t="s">
        <v>375</v>
      </c>
      <c r="D27" s="202" t="s">
        <v>356</v>
      </c>
      <c r="E27" s="205">
        <v>0</v>
      </c>
      <c r="F27" s="205">
        <v>0</v>
      </c>
      <c r="G27" s="205">
        <v>0</v>
      </c>
      <c r="H27" s="205">
        <v>0</v>
      </c>
    </row>
    <row r="28" spans="1:11" x14ac:dyDescent="0.2">
      <c r="A28" s="254" t="s">
        <v>352</v>
      </c>
      <c r="B28" s="254" t="s">
        <v>26</v>
      </c>
      <c r="C28" s="254" t="s">
        <v>375</v>
      </c>
      <c r="D28" s="254" t="s">
        <v>357</v>
      </c>
      <c r="E28" s="255">
        <v>13140219.560000001</v>
      </c>
      <c r="F28" s="255">
        <v>898</v>
      </c>
      <c r="G28" s="255">
        <v>634</v>
      </c>
      <c r="H28" s="255">
        <v>544</v>
      </c>
    </row>
    <row r="29" spans="1:11" x14ac:dyDescent="0.2">
      <c r="A29" s="202" t="s">
        <v>352</v>
      </c>
      <c r="B29" s="202" t="s">
        <v>26</v>
      </c>
      <c r="C29" s="202" t="s">
        <v>375</v>
      </c>
      <c r="D29" s="202" t="s">
        <v>49</v>
      </c>
      <c r="E29" s="205">
        <v>360</v>
      </c>
      <c r="F29" s="205">
        <v>0</v>
      </c>
      <c r="G29" s="205">
        <v>0</v>
      </c>
      <c r="H29" s="205">
        <v>0</v>
      </c>
    </row>
    <row r="30" spans="1:11" x14ac:dyDescent="0.2">
      <c r="A30" s="202" t="s">
        <v>352</v>
      </c>
      <c r="B30" s="202" t="s">
        <v>26</v>
      </c>
      <c r="C30" s="202" t="s">
        <v>375</v>
      </c>
      <c r="D30" s="202" t="s">
        <v>50</v>
      </c>
      <c r="E30" s="205">
        <v>60</v>
      </c>
      <c r="F30" s="205">
        <v>0</v>
      </c>
      <c r="G30" s="205">
        <v>0</v>
      </c>
      <c r="H30" s="205">
        <v>0</v>
      </c>
    </row>
    <row r="31" spans="1:11" x14ac:dyDescent="0.2">
      <c r="D31" s="209" t="s">
        <v>93</v>
      </c>
      <c r="E31" s="210">
        <f>SUM(E3:E6,E20,E22)</f>
        <v>5991563.4900000002</v>
      </c>
      <c r="F31" s="210">
        <f>SUM(F3:F6,F20,F22)</f>
        <v>394</v>
      </c>
      <c r="G31" s="210">
        <f>SUM(G3:G6,G20,G22)</f>
        <v>276</v>
      </c>
      <c r="H31" s="210">
        <f>SUM(H3:H6,H20,H22)</f>
        <v>236</v>
      </c>
      <c r="I31" s="212"/>
      <c r="K31" s="393">
        <f>SUM(H31)/G31*100</f>
        <v>85.507246376811594</v>
      </c>
    </row>
    <row r="32" spans="1:11" x14ac:dyDescent="0.2">
      <c r="D32" s="416" t="s">
        <v>105</v>
      </c>
      <c r="E32" s="393">
        <f>E3+E4+E5+E6+E20+E22</f>
        <v>5991563.4900000002</v>
      </c>
      <c r="I32" s="212"/>
    </row>
    <row r="33" spans="4:11" x14ac:dyDescent="0.2">
      <c r="D33" s="204"/>
      <c r="E33" s="205">
        <f>SUM(E3:E20,E22,E24:E27)</f>
        <v>6570109.7800000003</v>
      </c>
      <c r="I33" s="212"/>
    </row>
    <row r="34" spans="4:11" x14ac:dyDescent="0.2">
      <c r="D34" s="209" t="s">
        <v>295</v>
      </c>
      <c r="E34" s="210">
        <f>SUM(E3:E6,E15,E20,E22)</f>
        <v>6516063.4900000002</v>
      </c>
      <c r="F34" s="210">
        <f>SUM(F3:F6,F15,F20,F22)</f>
        <v>442</v>
      </c>
      <c r="G34" s="210">
        <f>SUM(G3:G6,G15,G20,G22)</f>
        <v>315</v>
      </c>
      <c r="H34" s="210">
        <f>SUM(H3:H6,H15,H20,H22)</f>
        <v>271</v>
      </c>
      <c r="I34" s="212"/>
      <c r="K34" s="393">
        <f>SUM(H34)/G34*100</f>
        <v>86.031746031746039</v>
      </c>
    </row>
    <row r="35" spans="4:11" x14ac:dyDescent="0.2">
      <c r="D35" s="416" t="s">
        <v>105</v>
      </c>
      <c r="E35" s="393">
        <f>E3+E4+E5+E6+E15+E20+E22</f>
        <v>6516063.4900000002</v>
      </c>
      <c r="F35" s="202"/>
      <c r="G35" s="202"/>
      <c r="H35" s="202"/>
    </row>
    <row r="36" spans="4:11" x14ac:dyDescent="0.2">
      <c r="D36" s="204"/>
      <c r="E36" s="205">
        <f>SUM(E3:E20,E22,E24:E27)</f>
        <v>6570109.7800000003</v>
      </c>
      <c r="F36" s="202"/>
      <c r="G36" s="202"/>
      <c r="H36" s="20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Arkusz47">
    <tabColor rgb="FFFF9900"/>
  </sheetPr>
  <dimension ref="A1"/>
  <sheetViews>
    <sheetView zoomScale="80" zoomScaleNormal="80" workbookViewId="0"/>
  </sheetViews>
  <sheetFormatPr defaultRowHeight="15" x14ac:dyDescent="0.25"/>
  <cols>
    <col min="1" max="16384" width="9.140625" style="777"/>
  </cols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Arkusz48">
    <tabColor theme="9" tint="0.59999389629810485"/>
  </sheetPr>
  <dimension ref="A1:K36"/>
  <sheetViews>
    <sheetView zoomScale="80" zoomScaleNormal="80" workbookViewId="0"/>
  </sheetViews>
  <sheetFormatPr defaultRowHeight="14.25" x14ac:dyDescent="0.2"/>
  <cols>
    <col min="1" max="3" width="9.140625" style="204"/>
    <col min="4" max="4" width="9.140625" style="202"/>
    <col min="5" max="5" width="13.5703125" style="204" customWidth="1"/>
    <col min="6" max="6" width="11.85546875" style="204" customWidth="1"/>
    <col min="7" max="7" width="11.7109375" style="204" customWidth="1"/>
    <col min="8" max="8" width="11.140625" style="204" customWidth="1"/>
    <col min="9" max="10" width="5.85546875" style="204" customWidth="1"/>
    <col min="11" max="16384" width="9.140625" style="204"/>
  </cols>
  <sheetData>
    <row r="1" spans="1:10" s="394" customFormat="1" x14ac:dyDescent="0.2">
      <c r="A1" s="392" t="s">
        <v>22</v>
      </c>
      <c r="B1" s="392" t="s">
        <v>23</v>
      </c>
      <c r="C1" s="392" t="s">
        <v>24</v>
      </c>
      <c r="D1" s="392" t="s">
        <v>25</v>
      </c>
      <c r="E1" s="393" t="s">
        <v>95</v>
      </c>
      <c r="F1" s="393" t="s">
        <v>53</v>
      </c>
      <c r="G1" s="393" t="s">
        <v>54</v>
      </c>
      <c r="H1" s="393" t="s">
        <v>94</v>
      </c>
    </row>
    <row r="2" spans="1:10" x14ac:dyDescent="0.2">
      <c r="A2" s="202" t="s">
        <v>352</v>
      </c>
      <c r="B2" s="202" t="s">
        <v>26</v>
      </c>
      <c r="C2" s="202" t="s">
        <v>376</v>
      </c>
      <c r="D2" s="202" t="s">
        <v>27</v>
      </c>
      <c r="E2" s="205">
        <v>15088310.42</v>
      </c>
      <c r="F2" s="205">
        <v>1493</v>
      </c>
      <c r="G2" s="205">
        <v>1161</v>
      </c>
      <c r="H2" s="205">
        <v>937</v>
      </c>
    </row>
    <row r="3" spans="1:10" x14ac:dyDescent="0.2">
      <c r="A3" s="202" t="s">
        <v>352</v>
      </c>
      <c r="B3" s="202" t="s">
        <v>26</v>
      </c>
      <c r="C3" s="202" t="s">
        <v>376</v>
      </c>
      <c r="D3" s="202" t="s">
        <v>28</v>
      </c>
      <c r="E3" s="393">
        <v>2359184.2400000002</v>
      </c>
      <c r="F3" s="393">
        <v>297</v>
      </c>
      <c r="G3" s="393">
        <v>204</v>
      </c>
      <c r="H3" s="393">
        <v>175</v>
      </c>
      <c r="I3" s="417" t="s">
        <v>28</v>
      </c>
      <c r="J3" s="417">
        <v>1</v>
      </c>
    </row>
    <row r="4" spans="1:10" x14ac:dyDescent="0.2">
      <c r="A4" s="202" t="s">
        <v>352</v>
      </c>
      <c r="B4" s="202" t="s">
        <v>26</v>
      </c>
      <c r="C4" s="202" t="s">
        <v>376</v>
      </c>
      <c r="D4" s="202" t="s">
        <v>29</v>
      </c>
      <c r="E4" s="393">
        <v>261876.84</v>
      </c>
      <c r="F4" s="393">
        <v>53</v>
      </c>
      <c r="G4" s="393">
        <v>67</v>
      </c>
      <c r="H4" s="393">
        <v>30</v>
      </c>
      <c r="I4" s="417" t="s">
        <v>29</v>
      </c>
      <c r="J4" s="417">
        <v>2</v>
      </c>
    </row>
    <row r="5" spans="1:10" x14ac:dyDescent="0.2">
      <c r="A5" s="202" t="s">
        <v>352</v>
      </c>
      <c r="B5" s="202" t="s">
        <v>26</v>
      </c>
      <c r="C5" s="202" t="s">
        <v>376</v>
      </c>
      <c r="D5" s="202" t="s">
        <v>30</v>
      </c>
      <c r="E5" s="393">
        <v>2906653.11</v>
      </c>
      <c r="F5" s="393">
        <v>467</v>
      </c>
      <c r="G5" s="393">
        <v>253</v>
      </c>
      <c r="H5" s="393">
        <v>247</v>
      </c>
      <c r="I5" s="417" t="s">
        <v>30</v>
      </c>
      <c r="J5" s="417">
        <v>3</v>
      </c>
    </row>
    <row r="6" spans="1:10" x14ac:dyDescent="0.2">
      <c r="A6" s="202" t="s">
        <v>352</v>
      </c>
      <c r="B6" s="202" t="s">
        <v>26</v>
      </c>
      <c r="C6" s="202" t="s">
        <v>376</v>
      </c>
      <c r="D6" s="202" t="s">
        <v>31</v>
      </c>
      <c r="E6" s="393">
        <v>2110184.8199999998</v>
      </c>
      <c r="F6" s="393">
        <v>169</v>
      </c>
      <c r="G6" s="393">
        <v>136</v>
      </c>
      <c r="H6" s="393">
        <v>129</v>
      </c>
      <c r="I6" s="417" t="s">
        <v>31</v>
      </c>
      <c r="J6" s="417">
        <v>4</v>
      </c>
    </row>
    <row r="7" spans="1:10" x14ac:dyDescent="0.2">
      <c r="A7" s="202" t="s">
        <v>352</v>
      </c>
      <c r="B7" s="202" t="s">
        <v>26</v>
      </c>
      <c r="C7" s="202" t="s">
        <v>376</v>
      </c>
      <c r="D7" s="202" t="s">
        <v>32</v>
      </c>
      <c r="E7" s="205">
        <v>194676.4</v>
      </c>
      <c r="F7" s="205">
        <v>160</v>
      </c>
      <c r="G7" s="205">
        <v>109</v>
      </c>
      <c r="H7" s="205">
        <v>9</v>
      </c>
      <c r="I7" s="206"/>
    </row>
    <row r="8" spans="1:10" x14ac:dyDescent="0.2">
      <c r="A8" s="202" t="s">
        <v>352</v>
      </c>
      <c r="B8" s="202" t="s">
        <v>26</v>
      </c>
      <c r="C8" s="202" t="s">
        <v>376</v>
      </c>
      <c r="D8" s="202" t="s">
        <v>33</v>
      </c>
      <c r="E8" s="205">
        <v>0</v>
      </c>
      <c r="F8" s="205">
        <v>0</v>
      </c>
      <c r="G8" s="205">
        <v>0</v>
      </c>
      <c r="H8" s="205">
        <v>0</v>
      </c>
      <c r="I8" s="206"/>
    </row>
    <row r="9" spans="1:10" x14ac:dyDescent="0.2">
      <c r="A9" s="202" t="s">
        <v>352</v>
      </c>
      <c r="B9" s="202" t="s">
        <v>26</v>
      </c>
      <c r="C9" s="202" t="s">
        <v>376</v>
      </c>
      <c r="D9" s="202" t="s">
        <v>34</v>
      </c>
      <c r="E9" s="205">
        <v>0</v>
      </c>
      <c r="F9" s="205">
        <v>0</v>
      </c>
      <c r="G9" s="205">
        <v>0</v>
      </c>
      <c r="H9" s="205">
        <v>0</v>
      </c>
      <c r="I9" s="206"/>
    </row>
    <row r="10" spans="1:10" x14ac:dyDescent="0.2">
      <c r="A10" s="202" t="s">
        <v>352</v>
      </c>
      <c r="B10" s="202" t="s">
        <v>26</v>
      </c>
      <c r="C10" s="202" t="s">
        <v>376</v>
      </c>
      <c r="D10" s="202" t="s">
        <v>35</v>
      </c>
      <c r="E10" s="205">
        <v>0</v>
      </c>
      <c r="F10" s="205">
        <v>0</v>
      </c>
      <c r="G10" s="205">
        <v>0</v>
      </c>
      <c r="H10" s="205">
        <v>0</v>
      </c>
      <c r="I10" s="206"/>
    </row>
    <row r="11" spans="1:10" x14ac:dyDescent="0.2">
      <c r="A11" s="202" t="s">
        <v>352</v>
      </c>
      <c r="B11" s="202" t="s">
        <v>26</v>
      </c>
      <c r="C11" s="202" t="s">
        <v>376</v>
      </c>
      <c r="D11" s="202" t="s">
        <v>36</v>
      </c>
      <c r="E11" s="205">
        <v>0</v>
      </c>
      <c r="F11" s="205">
        <v>0</v>
      </c>
      <c r="G11" s="205">
        <v>0</v>
      </c>
      <c r="H11" s="205">
        <v>0</v>
      </c>
      <c r="I11" s="206"/>
    </row>
    <row r="12" spans="1:10" x14ac:dyDescent="0.2">
      <c r="A12" s="202" t="s">
        <v>352</v>
      </c>
      <c r="B12" s="202" t="s">
        <v>26</v>
      </c>
      <c r="C12" s="202" t="s">
        <v>376</v>
      </c>
      <c r="D12" s="202" t="s">
        <v>37</v>
      </c>
      <c r="E12" s="205">
        <v>0</v>
      </c>
      <c r="F12" s="205">
        <v>0</v>
      </c>
      <c r="G12" s="205">
        <v>0</v>
      </c>
      <c r="H12" s="205">
        <v>0</v>
      </c>
      <c r="I12" s="206"/>
    </row>
    <row r="13" spans="1:10" x14ac:dyDescent="0.2">
      <c r="A13" s="202" t="s">
        <v>352</v>
      </c>
      <c r="B13" s="202" t="s">
        <v>26</v>
      </c>
      <c r="C13" s="202" t="s">
        <v>376</v>
      </c>
      <c r="D13" s="202" t="s">
        <v>26</v>
      </c>
      <c r="E13" s="205">
        <v>23476.18</v>
      </c>
      <c r="F13" s="205">
        <v>6</v>
      </c>
      <c r="G13" s="205">
        <v>3</v>
      </c>
      <c r="H13" s="205">
        <v>2</v>
      </c>
      <c r="I13" s="206"/>
    </row>
    <row r="14" spans="1:10" x14ac:dyDescent="0.2">
      <c r="A14" s="202" t="s">
        <v>352</v>
      </c>
      <c r="B14" s="202" t="s">
        <v>26</v>
      </c>
      <c r="C14" s="202" t="s">
        <v>376</v>
      </c>
      <c r="D14" s="202" t="s">
        <v>38</v>
      </c>
      <c r="E14" s="205">
        <v>0</v>
      </c>
      <c r="F14" s="205">
        <v>0</v>
      </c>
      <c r="G14" s="205">
        <v>0</v>
      </c>
      <c r="H14" s="205">
        <v>0</v>
      </c>
      <c r="I14" s="206"/>
    </row>
    <row r="15" spans="1:10" x14ac:dyDescent="0.2">
      <c r="A15" s="202" t="s">
        <v>352</v>
      </c>
      <c r="B15" s="202" t="s">
        <v>26</v>
      </c>
      <c r="C15" s="202" t="s">
        <v>376</v>
      </c>
      <c r="D15" s="202" t="s">
        <v>39</v>
      </c>
      <c r="E15" s="393">
        <v>1242000</v>
      </c>
      <c r="F15" s="393">
        <v>138</v>
      </c>
      <c r="G15" s="393">
        <v>138</v>
      </c>
      <c r="H15" s="393">
        <v>126</v>
      </c>
      <c r="I15" s="213"/>
      <c r="J15" s="417">
        <v>7</v>
      </c>
    </row>
    <row r="16" spans="1:10" x14ac:dyDescent="0.2">
      <c r="A16" s="202" t="s">
        <v>352</v>
      </c>
      <c r="B16" s="202" t="s">
        <v>26</v>
      </c>
      <c r="C16" s="202" t="s">
        <v>376</v>
      </c>
      <c r="D16" s="202" t="s">
        <v>40</v>
      </c>
      <c r="E16" s="205">
        <v>0</v>
      </c>
      <c r="F16" s="205">
        <v>0</v>
      </c>
      <c r="G16" s="205">
        <v>0</v>
      </c>
      <c r="H16" s="205">
        <v>0</v>
      </c>
      <c r="I16" s="206"/>
    </row>
    <row r="17" spans="1:11" x14ac:dyDescent="0.2">
      <c r="A17" s="202" t="s">
        <v>352</v>
      </c>
      <c r="B17" s="202" t="s">
        <v>26</v>
      </c>
      <c r="C17" s="202" t="s">
        <v>376</v>
      </c>
      <c r="D17" s="202" t="s">
        <v>41</v>
      </c>
      <c r="E17" s="205">
        <v>0</v>
      </c>
      <c r="F17" s="205">
        <v>0</v>
      </c>
      <c r="G17" s="205">
        <v>0</v>
      </c>
      <c r="H17" s="205">
        <v>0</v>
      </c>
      <c r="I17" s="206"/>
    </row>
    <row r="18" spans="1:11" x14ac:dyDescent="0.2">
      <c r="A18" s="202" t="s">
        <v>352</v>
      </c>
      <c r="B18" s="202" t="s">
        <v>26</v>
      </c>
      <c r="C18" s="202" t="s">
        <v>376</v>
      </c>
      <c r="D18" s="202" t="s">
        <v>42</v>
      </c>
      <c r="E18" s="205">
        <v>0</v>
      </c>
      <c r="F18" s="205">
        <v>0</v>
      </c>
      <c r="G18" s="205">
        <v>0</v>
      </c>
      <c r="H18" s="205">
        <v>0</v>
      </c>
      <c r="I18" s="206"/>
    </row>
    <row r="19" spans="1:11" x14ac:dyDescent="0.2">
      <c r="A19" s="202" t="s">
        <v>352</v>
      </c>
      <c r="B19" s="202" t="s">
        <v>26</v>
      </c>
      <c r="C19" s="202" t="s">
        <v>376</v>
      </c>
      <c r="D19" s="202" t="s">
        <v>43</v>
      </c>
      <c r="E19" s="205">
        <v>0</v>
      </c>
      <c r="F19" s="205">
        <v>0</v>
      </c>
      <c r="G19" s="205">
        <v>0</v>
      </c>
      <c r="H19" s="205">
        <v>0</v>
      </c>
      <c r="I19" s="206"/>
    </row>
    <row r="20" spans="1:11" x14ac:dyDescent="0.2">
      <c r="A20" s="202" t="s">
        <v>352</v>
      </c>
      <c r="B20" s="202" t="s">
        <v>26</v>
      </c>
      <c r="C20" s="202" t="s">
        <v>376</v>
      </c>
      <c r="D20" s="202" t="s">
        <v>44</v>
      </c>
      <c r="E20" s="393">
        <v>3560675.14</v>
      </c>
      <c r="F20" s="393">
        <v>122</v>
      </c>
      <c r="G20" s="393">
        <v>174</v>
      </c>
      <c r="H20" s="393">
        <v>156</v>
      </c>
      <c r="I20" s="417">
        <v>19</v>
      </c>
      <c r="J20" s="417">
        <v>5</v>
      </c>
    </row>
    <row r="21" spans="1:11" x14ac:dyDescent="0.2">
      <c r="A21" s="202" t="s">
        <v>352</v>
      </c>
      <c r="B21" s="202" t="s">
        <v>26</v>
      </c>
      <c r="C21" s="202" t="s">
        <v>376</v>
      </c>
      <c r="D21" s="202" t="s">
        <v>45</v>
      </c>
      <c r="E21" s="205">
        <v>0</v>
      </c>
      <c r="F21" s="205">
        <v>0</v>
      </c>
      <c r="G21" s="205">
        <v>0</v>
      </c>
      <c r="H21" s="205">
        <v>0</v>
      </c>
      <c r="I21" s="206"/>
    </row>
    <row r="22" spans="1:11" x14ac:dyDescent="0.2">
      <c r="A22" s="202" t="s">
        <v>352</v>
      </c>
      <c r="B22" s="202" t="s">
        <v>26</v>
      </c>
      <c r="C22" s="202" t="s">
        <v>376</v>
      </c>
      <c r="D22" s="202" t="s">
        <v>46</v>
      </c>
      <c r="E22" s="393">
        <v>2429583.69</v>
      </c>
      <c r="F22" s="393">
        <v>81</v>
      </c>
      <c r="G22" s="393">
        <v>77</v>
      </c>
      <c r="H22" s="393">
        <v>63</v>
      </c>
      <c r="I22" s="417" t="s">
        <v>46</v>
      </c>
      <c r="J22" s="417">
        <v>6</v>
      </c>
    </row>
    <row r="23" spans="1:11" x14ac:dyDescent="0.2">
      <c r="A23" s="202" t="s">
        <v>352</v>
      </c>
      <c r="B23" s="202" t="s">
        <v>26</v>
      </c>
      <c r="C23" s="202" t="s">
        <v>376</v>
      </c>
      <c r="D23" s="202" t="s">
        <v>47</v>
      </c>
      <c r="E23" s="205">
        <v>0</v>
      </c>
      <c r="F23" s="205">
        <v>0</v>
      </c>
      <c r="G23" s="205">
        <v>0</v>
      </c>
      <c r="H23" s="205">
        <v>0</v>
      </c>
    </row>
    <row r="24" spans="1:11" x14ac:dyDescent="0.2">
      <c r="A24" s="202" t="s">
        <v>352</v>
      </c>
      <c r="B24" s="202" t="s">
        <v>26</v>
      </c>
      <c r="C24" s="202" t="s">
        <v>376</v>
      </c>
      <c r="D24" s="202" t="s">
        <v>48</v>
      </c>
      <c r="E24" s="205">
        <v>0</v>
      </c>
      <c r="F24" s="205">
        <v>0</v>
      </c>
      <c r="G24" s="205">
        <v>0</v>
      </c>
      <c r="H24" s="205">
        <v>0</v>
      </c>
    </row>
    <row r="25" spans="1:11" x14ac:dyDescent="0.2">
      <c r="A25" s="202" t="s">
        <v>352</v>
      </c>
      <c r="B25" s="202" t="s">
        <v>26</v>
      </c>
      <c r="C25" s="202" t="s">
        <v>376</v>
      </c>
      <c r="D25" s="202" t="s">
        <v>354</v>
      </c>
      <c r="E25" s="205">
        <v>0</v>
      </c>
      <c r="F25" s="205">
        <v>0</v>
      </c>
      <c r="G25" s="205">
        <v>0</v>
      </c>
      <c r="H25" s="205">
        <v>0</v>
      </c>
    </row>
    <row r="26" spans="1:11" x14ac:dyDescent="0.2">
      <c r="A26" s="202" t="s">
        <v>352</v>
      </c>
      <c r="B26" s="202" t="s">
        <v>26</v>
      </c>
      <c r="C26" s="202" t="s">
        <v>376</v>
      </c>
      <c r="D26" s="202" t="s">
        <v>355</v>
      </c>
      <c r="E26" s="205">
        <v>0</v>
      </c>
      <c r="F26" s="205">
        <v>0</v>
      </c>
      <c r="G26" s="205">
        <v>0</v>
      </c>
      <c r="H26" s="205">
        <v>0</v>
      </c>
    </row>
    <row r="27" spans="1:11" x14ac:dyDescent="0.2">
      <c r="A27" s="202" t="s">
        <v>352</v>
      </c>
      <c r="B27" s="202" t="s">
        <v>26</v>
      </c>
      <c r="C27" s="202" t="s">
        <v>376</v>
      </c>
      <c r="D27" s="202" t="s">
        <v>356</v>
      </c>
      <c r="E27" s="205">
        <v>0</v>
      </c>
      <c r="F27" s="205">
        <v>0</v>
      </c>
      <c r="G27" s="205">
        <v>0</v>
      </c>
      <c r="H27" s="205">
        <v>0</v>
      </c>
    </row>
    <row r="28" spans="1:11" x14ac:dyDescent="0.2">
      <c r="A28" s="254" t="s">
        <v>352</v>
      </c>
      <c r="B28" s="254" t="s">
        <v>26</v>
      </c>
      <c r="C28" s="254" t="s">
        <v>376</v>
      </c>
      <c r="D28" s="254" t="s">
        <v>357</v>
      </c>
      <c r="E28" s="255">
        <v>30176620.84</v>
      </c>
      <c r="F28" s="255">
        <v>2986</v>
      </c>
      <c r="G28" s="255">
        <v>2322</v>
      </c>
      <c r="H28" s="255">
        <v>1874</v>
      </c>
    </row>
    <row r="29" spans="1:11" x14ac:dyDescent="0.2">
      <c r="A29" s="202" t="s">
        <v>352</v>
      </c>
      <c r="B29" s="202" t="s">
        <v>26</v>
      </c>
      <c r="C29" s="202" t="s">
        <v>376</v>
      </c>
      <c r="D29" s="202" t="s">
        <v>49</v>
      </c>
      <c r="E29" s="205">
        <v>720</v>
      </c>
      <c r="F29" s="205">
        <v>0</v>
      </c>
      <c r="G29" s="205">
        <v>0</v>
      </c>
      <c r="H29" s="205">
        <v>0</v>
      </c>
    </row>
    <row r="30" spans="1:11" x14ac:dyDescent="0.2">
      <c r="A30" s="202" t="s">
        <v>352</v>
      </c>
      <c r="B30" s="202" t="s">
        <v>26</v>
      </c>
      <c r="C30" s="202" t="s">
        <v>376</v>
      </c>
      <c r="D30" s="202" t="s">
        <v>50</v>
      </c>
      <c r="E30" s="205">
        <v>60</v>
      </c>
      <c r="F30" s="205">
        <v>0</v>
      </c>
      <c r="G30" s="205">
        <v>0</v>
      </c>
      <c r="H30" s="205">
        <v>0</v>
      </c>
    </row>
    <row r="31" spans="1:11" x14ac:dyDescent="0.2">
      <c r="D31" s="209" t="s">
        <v>93</v>
      </c>
      <c r="E31" s="210">
        <f>SUM(E3:E6,E20,E22)</f>
        <v>13628157.84</v>
      </c>
      <c r="F31" s="210">
        <f>SUM(F3:F6,F20,F22)</f>
        <v>1189</v>
      </c>
      <c r="G31" s="210">
        <f>SUM(G3:G6,G20,G22)</f>
        <v>911</v>
      </c>
      <c r="H31" s="210">
        <f>SUM(H3:H6,H20,H22)</f>
        <v>800</v>
      </c>
      <c r="I31" s="212"/>
      <c r="K31" s="393">
        <f>SUM(H31)/G31*100</f>
        <v>87.815587266739854</v>
      </c>
    </row>
    <row r="32" spans="1:11" x14ac:dyDescent="0.2">
      <c r="D32" s="418" t="s">
        <v>105</v>
      </c>
      <c r="E32" s="419">
        <f>E3+E4+E5+E6+E20+E22</f>
        <v>13628157.84</v>
      </c>
      <c r="I32" s="212"/>
    </row>
    <row r="33" spans="4:11" x14ac:dyDescent="0.2">
      <c r="D33" s="204"/>
      <c r="E33" s="205">
        <f>SUM(E3:E20,E22,E24:E27)</f>
        <v>15088310.42</v>
      </c>
      <c r="I33" s="212"/>
    </row>
    <row r="34" spans="4:11" x14ac:dyDescent="0.2">
      <c r="D34" s="209" t="s">
        <v>295</v>
      </c>
      <c r="E34" s="210">
        <f>SUM(E3:E6,E15,E20,E22)</f>
        <v>14870157.84</v>
      </c>
      <c r="F34" s="210">
        <f>SUM(F3:F6,F15,F20,F22)</f>
        <v>1327</v>
      </c>
      <c r="G34" s="210">
        <f>SUM(G3:G6,G15,G20,G22)</f>
        <v>1049</v>
      </c>
      <c r="H34" s="210">
        <f>SUM(H3:H6,H15,H20,H22)</f>
        <v>926</v>
      </c>
      <c r="I34" s="212"/>
      <c r="K34" s="393">
        <f>SUM(H34)/G34*100</f>
        <v>88.274547187797907</v>
      </c>
    </row>
    <row r="35" spans="4:11" x14ac:dyDescent="0.2">
      <c r="D35" s="418" t="s">
        <v>105</v>
      </c>
      <c r="E35" s="419">
        <f>E3+E4+E5+E6+E15+E20+E22</f>
        <v>14870157.84</v>
      </c>
      <c r="F35" s="202"/>
      <c r="G35" s="202"/>
      <c r="H35" s="202"/>
    </row>
    <row r="36" spans="4:11" x14ac:dyDescent="0.2">
      <c r="D36" s="204"/>
      <c r="E36" s="205">
        <f>SUM(E3:E20,E22,E24:E27)</f>
        <v>15088310.42</v>
      </c>
      <c r="F36" s="202"/>
      <c r="G36" s="202"/>
      <c r="H36" s="20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Arkusz41">
    <tabColor theme="9" tint="0.59999389629810485"/>
  </sheetPr>
  <dimension ref="A1:M36"/>
  <sheetViews>
    <sheetView zoomScale="80" zoomScaleNormal="80" workbookViewId="0"/>
  </sheetViews>
  <sheetFormatPr defaultRowHeight="14.25" x14ac:dyDescent="0.2"/>
  <cols>
    <col min="1" max="3" width="9.140625" style="204"/>
    <col min="4" max="4" width="9.140625" style="202"/>
    <col min="5" max="5" width="13.42578125" style="204" customWidth="1"/>
    <col min="6" max="6" width="11.85546875" style="204" customWidth="1"/>
    <col min="7" max="7" width="11.7109375" style="204" customWidth="1"/>
    <col min="8" max="8" width="11.140625" style="204" customWidth="1"/>
    <col min="9" max="10" width="5.85546875" style="204" customWidth="1"/>
    <col min="11" max="16384" width="9.140625" style="204"/>
  </cols>
  <sheetData>
    <row r="1" spans="1:10" s="394" customFormat="1" x14ac:dyDescent="0.2">
      <c r="A1" s="392" t="s">
        <v>22</v>
      </c>
      <c r="B1" s="392" t="s">
        <v>23</v>
      </c>
      <c r="C1" s="392" t="s">
        <v>24</v>
      </c>
      <c r="D1" s="392" t="s">
        <v>25</v>
      </c>
      <c r="E1" s="393" t="s">
        <v>95</v>
      </c>
      <c r="F1" s="393" t="s">
        <v>53</v>
      </c>
      <c r="G1" s="393" t="s">
        <v>54</v>
      </c>
      <c r="H1" s="393" t="s">
        <v>94</v>
      </c>
    </row>
    <row r="2" spans="1:10" x14ac:dyDescent="0.2">
      <c r="A2" s="202" t="s">
        <v>352</v>
      </c>
      <c r="B2" s="202" t="s">
        <v>26</v>
      </c>
      <c r="C2" s="202" t="s">
        <v>377</v>
      </c>
      <c r="D2" s="202" t="s">
        <v>27</v>
      </c>
      <c r="E2" s="205">
        <v>31493650.870000001</v>
      </c>
      <c r="F2" s="205">
        <v>2738</v>
      </c>
      <c r="G2" s="205">
        <v>1993</v>
      </c>
      <c r="H2" s="205">
        <v>1592</v>
      </c>
    </row>
    <row r="3" spans="1:10" x14ac:dyDescent="0.2">
      <c r="A3" s="202" t="s">
        <v>352</v>
      </c>
      <c r="B3" s="202" t="s">
        <v>26</v>
      </c>
      <c r="C3" s="202" t="s">
        <v>377</v>
      </c>
      <c r="D3" s="202" t="s">
        <v>28</v>
      </c>
      <c r="E3" s="393">
        <v>7511808.4900000002</v>
      </c>
      <c r="F3" s="393">
        <v>967</v>
      </c>
      <c r="G3" s="393">
        <v>752</v>
      </c>
      <c r="H3" s="393">
        <v>631</v>
      </c>
      <c r="I3" s="392" t="s">
        <v>28</v>
      </c>
      <c r="J3" s="392">
        <v>1</v>
      </c>
    </row>
    <row r="4" spans="1:10" x14ac:dyDescent="0.2">
      <c r="A4" s="202" t="s">
        <v>352</v>
      </c>
      <c r="B4" s="202" t="s">
        <v>26</v>
      </c>
      <c r="C4" s="202" t="s">
        <v>377</v>
      </c>
      <c r="D4" s="202" t="s">
        <v>29</v>
      </c>
      <c r="E4" s="393">
        <v>556100.30000000005</v>
      </c>
      <c r="F4" s="393">
        <v>370</v>
      </c>
      <c r="G4" s="393">
        <v>367</v>
      </c>
      <c r="H4" s="393">
        <v>203</v>
      </c>
      <c r="I4" s="392" t="s">
        <v>29</v>
      </c>
      <c r="J4" s="392">
        <v>2</v>
      </c>
    </row>
    <row r="5" spans="1:10" x14ac:dyDescent="0.2">
      <c r="A5" s="202" t="s">
        <v>352</v>
      </c>
      <c r="B5" s="202" t="s">
        <v>26</v>
      </c>
      <c r="C5" s="202" t="s">
        <v>377</v>
      </c>
      <c r="D5" s="202" t="s">
        <v>30</v>
      </c>
      <c r="E5" s="393">
        <v>2831354.99</v>
      </c>
      <c r="F5" s="393">
        <v>456</v>
      </c>
      <c r="G5" s="393">
        <v>303</v>
      </c>
      <c r="H5" s="393">
        <v>273</v>
      </c>
      <c r="I5" s="392" t="s">
        <v>30</v>
      </c>
      <c r="J5" s="392">
        <v>3</v>
      </c>
    </row>
    <row r="6" spans="1:10" x14ac:dyDescent="0.2">
      <c r="A6" s="202" t="s">
        <v>352</v>
      </c>
      <c r="B6" s="202" t="s">
        <v>26</v>
      </c>
      <c r="C6" s="202" t="s">
        <v>377</v>
      </c>
      <c r="D6" s="202" t="s">
        <v>31</v>
      </c>
      <c r="E6" s="393">
        <v>2052635.07</v>
      </c>
      <c r="F6" s="393">
        <v>154</v>
      </c>
      <c r="G6" s="393">
        <v>117</v>
      </c>
      <c r="H6" s="393">
        <v>96</v>
      </c>
      <c r="I6" s="392" t="s">
        <v>31</v>
      </c>
      <c r="J6" s="392">
        <v>4</v>
      </c>
    </row>
    <row r="7" spans="1:10" x14ac:dyDescent="0.2">
      <c r="A7" s="202" t="s">
        <v>352</v>
      </c>
      <c r="B7" s="202" t="s">
        <v>26</v>
      </c>
      <c r="C7" s="202" t="s">
        <v>377</v>
      </c>
      <c r="D7" s="202" t="s">
        <v>32</v>
      </c>
      <c r="E7" s="205">
        <v>39414</v>
      </c>
      <c r="F7" s="205">
        <v>30</v>
      </c>
      <c r="G7" s="205">
        <v>28</v>
      </c>
      <c r="H7" s="205">
        <v>1</v>
      </c>
      <c r="I7" s="206"/>
    </row>
    <row r="8" spans="1:10" x14ac:dyDescent="0.2">
      <c r="A8" s="202" t="s">
        <v>352</v>
      </c>
      <c r="B8" s="202" t="s">
        <v>26</v>
      </c>
      <c r="C8" s="202" t="s">
        <v>377</v>
      </c>
      <c r="D8" s="202" t="s">
        <v>33</v>
      </c>
      <c r="E8" s="205">
        <v>0</v>
      </c>
      <c r="F8" s="205">
        <v>0</v>
      </c>
      <c r="G8" s="205">
        <v>0</v>
      </c>
      <c r="H8" s="205">
        <v>0</v>
      </c>
      <c r="I8" s="206"/>
    </row>
    <row r="9" spans="1:10" x14ac:dyDescent="0.2">
      <c r="A9" s="202" t="s">
        <v>352</v>
      </c>
      <c r="B9" s="202" t="s">
        <v>26</v>
      </c>
      <c r="C9" s="202" t="s">
        <v>377</v>
      </c>
      <c r="D9" s="202" t="s">
        <v>34</v>
      </c>
      <c r="E9" s="205">
        <v>0</v>
      </c>
      <c r="F9" s="205">
        <v>0</v>
      </c>
      <c r="G9" s="205">
        <v>0</v>
      </c>
      <c r="H9" s="205">
        <v>0</v>
      </c>
      <c r="I9" s="206"/>
    </row>
    <row r="10" spans="1:10" x14ac:dyDescent="0.2">
      <c r="A10" s="202" t="s">
        <v>352</v>
      </c>
      <c r="B10" s="202" t="s">
        <v>26</v>
      </c>
      <c r="C10" s="202" t="s">
        <v>377</v>
      </c>
      <c r="D10" s="202" t="s">
        <v>35</v>
      </c>
      <c r="E10" s="205">
        <v>0</v>
      </c>
      <c r="F10" s="205">
        <v>0</v>
      </c>
      <c r="G10" s="205">
        <v>0</v>
      </c>
      <c r="H10" s="205">
        <v>0</v>
      </c>
      <c r="I10" s="206"/>
    </row>
    <row r="11" spans="1:10" x14ac:dyDescent="0.2">
      <c r="A11" s="202" t="s">
        <v>352</v>
      </c>
      <c r="B11" s="202" t="s">
        <v>26</v>
      </c>
      <c r="C11" s="202" t="s">
        <v>377</v>
      </c>
      <c r="D11" s="202" t="s">
        <v>36</v>
      </c>
      <c r="E11" s="205">
        <v>0</v>
      </c>
      <c r="F11" s="205">
        <v>0</v>
      </c>
      <c r="G11" s="205">
        <v>0</v>
      </c>
      <c r="H11" s="205">
        <v>0</v>
      </c>
      <c r="I11" s="206"/>
    </row>
    <row r="12" spans="1:10" x14ac:dyDescent="0.2">
      <c r="A12" s="202" t="s">
        <v>352</v>
      </c>
      <c r="B12" s="202" t="s">
        <v>26</v>
      </c>
      <c r="C12" s="202" t="s">
        <v>377</v>
      </c>
      <c r="D12" s="202" t="s">
        <v>37</v>
      </c>
      <c r="E12" s="205">
        <v>0</v>
      </c>
      <c r="F12" s="205">
        <v>0</v>
      </c>
      <c r="G12" s="205">
        <v>0</v>
      </c>
      <c r="H12" s="205">
        <v>0</v>
      </c>
      <c r="I12" s="206"/>
    </row>
    <row r="13" spans="1:10" x14ac:dyDescent="0.2">
      <c r="A13" s="202" t="s">
        <v>352</v>
      </c>
      <c r="B13" s="202" t="s">
        <v>26</v>
      </c>
      <c r="C13" s="202" t="s">
        <v>377</v>
      </c>
      <c r="D13" s="202" t="s">
        <v>26</v>
      </c>
      <c r="E13" s="205">
        <v>0</v>
      </c>
      <c r="F13" s="205">
        <v>0</v>
      </c>
      <c r="G13" s="205">
        <v>0</v>
      </c>
      <c r="H13" s="205">
        <v>0</v>
      </c>
      <c r="I13" s="206"/>
    </row>
    <row r="14" spans="1:10" x14ac:dyDescent="0.2">
      <c r="A14" s="202" t="s">
        <v>352</v>
      </c>
      <c r="B14" s="202" t="s">
        <v>26</v>
      </c>
      <c r="C14" s="202" t="s">
        <v>377</v>
      </c>
      <c r="D14" s="202" t="s">
        <v>38</v>
      </c>
      <c r="E14" s="205">
        <v>279337.14</v>
      </c>
      <c r="F14" s="205">
        <v>43</v>
      </c>
      <c r="G14" s="205">
        <v>29</v>
      </c>
      <c r="H14" s="205">
        <v>22</v>
      </c>
      <c r="I14" s="206"/>
    </row>
    <row r="15" spans="1:10" x14ac:dyDescent="0.2">
      <c r="A15" s="202" t="s">
        <v>352</v>
      </c>
      <c r="B15" s="202" t="s">
        <v>26</v>
      </c>
      <c r="C15" s="202" t="s">
        <v>377</v>
      </c>
      <c r="D15" s="202" t="s">
        <v>39</v>
      </c>
      <c r="E15" s="393">
        <v>738288.89</v>
      </c>
      <c r="F15" s="393">
        <v>86</v>
      </c>
      <c r="G15" s="393">
        <v>70</v>
      </c>
      <c r="H15" s="393">
        <v>64</v>
      </c>
      <c r="I15" s="213"/>
      <c r="J15" s="392">
        <v>7</v>
      </c>
    </row>
    <row r="16" spans="1:10" x14ac:dyDescent="0.2">
      <c r="A16" s="202" t="s">
        <v>352</v>
      </c>
      <c r="B16" s="202" t="s">
        <v>26</v>
      </c>
      <c r="C16" s="202" t="s">
        <v>377</v>
      </c>
      <c r="D16" s="202" t="s">
        <v>40</v>
      </c>
      <c r="E16" s="205">
        <v>436007.62</v>
      </c>
      <c r="F16" s="205">
        <v>47</v>
      </c>
      <c r="G16" s="205">
        <v>26</v>
      </c>
      <c r="H16" s="205">
        <v>16</v>
      </c>
      <c r="I16" s="206"/>
    </row>
    <row r="17" spans="1:13" x14ac:dyDescent="0.2">
      <c r="A17" s="202" t="s">
        <v>352</v>
      </c>
      <c r="B17" s="202" t="s">
        <v>26</v>
      </c>
      <c r="C17" s="202" t="s">
        <v>377</v>
      </c>
      <c r="D17" s="202" t="s">
        <v>41</v>
      </c>
      <c r="E17" s="205">
        <v>0</v>
      </c>
      <c r="F17" s="205">
        <v>0</v>
      </c>
      <c r="G17" s="205">
        <v>0</v>
      </c>
      <c r="H17" s="205">
        <v>0</v>
      </c>
      <c r="I17" s="206"/>
    </row>
    <row r="18" spans="1:13" x14ac:dyDescent="0.2">
      <c r="A18" s="202" t="s">
        <v>352</v>
      </c>
      <c r="B18" s="202" t="s">
        <v>26</v>
      </c>
      <c r="C18" s="202" t="s">
        <v>377</v>
      </c>
      <c r="D18" s="202" t="s">
        <v>42</v>
      </c>
      <c r="E18" s="205">
        <v>14285.7</v>
      </c>
      <c r="F18" s="205">
        <v>5</v>
      </c>
      <c r="G18" s="205">
        <v>0</v>
      </c>
      <c r="H18" s="205">
        <v>0</v>
      </c>
      <c r="I18" s="206"/>
    </row>
    <row r="19" spans="1:13" x14ac:dyDescent="0.2">
      <c r="A19" s="202" t="s">
        <v>352</v>
      </c>
      <c r="B19" s="202" t="s">
        <v>26</v>
      </c>
      <c r="C19" s="202" t="s">
        <v>377</v>
      </c>
      <c r="D19" s="202" t="s">
        <v>43</v>
      </c>
      <c r="E19" s="205">
        <v>0</v>
      </c>
      <c r="F19" s="205">
        <v>0</v>
      </c>
      <c r="G19" s="205">
        <v>0</v>
      </c>
      <c r="H19" s="205">
        <v>0</v>
      </c>
      <c r="I19" s="206"/>
    </row>
    <row r="20" spans="1:13" x14ac:dyDescent="0.2">
      <c r="A20" s="202" t="s">
        <v>352</v>
      </c>
      <c r="B20" s="202" t="s">
        <v>26</v>
      </c>
      <c r="C20" s="202" t="s">
        <v>377</v>
      </c>
      <c r="D20" s="202" t="s">
        <v>44</v>
      </c>
      <c r="E20" s="393">
        <v>8645191.5800000001</v>
      </c>
      <c r="F20" s="393">
        <v>313</v>
      </c>
      <c r="G20" s="393">
        <v>179</v>
      </c>
      <c r="H20" s="393">
        <v>174</v>
      </c>
      <c r="I20" s="392">
        <v>19</v>
      </c>
      <c r="J20" s="392">
        <v>5</v>
      </c>
    </row>
    <row r="21" spans="1:13" x14ac:dyDescent="0.2">
      <c r="A21" s="202" t="s">
        <v>352</v>
      </c>
      <c r="B21" s="202" t="s">
        <v>26</v>
      </c>
      <c r="C21" s="202" t="s">
        <v>377</v>
      </c>
      <c r="D21" s="202" t="s">
        <v>45</v>
      </c>
      <c r="E21" s="205">
        <v>0</v>
      </c>
      <c r="F21" s="205">
        <v>0</v>
      </c>
      <c r="G21" s="205">
        <v>0</v>
      </c>
      <c r="H21" s="205">
        <v>0</v>
      </c>
      <c r="I21" s="415"/>
      <c r="J21" s="117"/>
    </row>
    <row r="22" spans="1:13" x14ac:dyDescent="0.2">
      <c r="A22" s="202" t="s">
        <v>352</v>
      </c>
      <c r="B22" s="202" t="s">
        <v>26</v>
      </c>
      <c r="C22" s="202" t="s">
        <v>377</v>
      </c>
      <c r="D22" s="202" t="s">
        <v>46</v>
      </c>
      <c r="E22" s="393">
        <v>8389227.0899999999</v>
      </c>
      <c r="F22" s="393">
        <v>267</v>
      </c>
      <c r="G22" s="393">
        <v>122</v>
      </c>
      <c r="H22" s="393">
        <v>112</v>
      </c>
      <c r="I22" s="392" t="s">
        <v>46</v>
      </c>
      <c r="J22" s="392">
        <v>6</v>
      </c>
    </row>
    <row r="23" spans="1:13" x14ac:dyDescent="0.2">
      <c r="A23" s="202" t="s">
        <v>352</v>
      </c>
      <c r="B23" s="202" t="s">
        <v>26</v>
      </c>
      <c r="C23" s="202" t="s">
        <v>377</v>
      </c>
      <c r="D23" s="202" t="s">
        <v>47</v>
      </c>
      <c r="E23" s="205">
        <v>0</v>
      </c>
      <c r="F23" s="205">
        <v>0</v>
      </c>
      <c r="G23" s="205">
        <v>0</v>
      </c>
      <c r="H23" s="205">
        <v>0</v>
      </c>
    </row>
    <row r="24" spans="1:13" x14ac:dyDescent="0.2">
      <c r="A24" s="202" t="s">
        <v>352</v>
      </c>
      <c r="B24" s="202" t="s">
        <v>26</v>
      </c>
      <c r="C24" s="202" t="s">
        <v>377</v>
      </c>
      <c r="D24" s="202" t="s">
        <v>48</v>
      </c>
      <c r="E24" s="205">
        <v>0</v>
      </c>
      <c r="F24" s="205">
        <v>0</v>
      </c>
      <c r="G24" s="205">
        <v>0</v>
      </c>
      <c r="H24" s="205">
        <v>0</v>
      </c>
    </row>
    <row r="25" spans="1:13" x14ac:dyDescent="0.2">
      <c r="A25" s="202" t="s">
        <v>352</v>
      </c>
      <c r="B25" s="202" t="s">
        <v>26</v>
      </c>
      <c r="C25" s="202" t="s">
        <v>377</v>
      </c>
      <c r="D25" s="202" t="s">
        <v>354</v>
      </c>
      <c r="E25" s="205">
        <v>0</v>
      </c>
      <c r="F25" s="205">
        <v>0</v>
      </c>
      <c r="G25" s="205">
        <v>0</v>
      </c>
      <c r="H25" s="205">
        <v>0</v>
      </c>
    </row>
    <row r="26" spans="1:13" x14ac:dyDescent="0.2">
      <c r="A26" s="202" t="s">
        <v>352</v>
      </c>
      <c r="B26" s="202" t="s">
        <v>26</v>
      </c>
      <c r="C26" s="202" t="s">
        <v>377</v>
      </c>
      <c r="D26" s="202" t="s">
        <v>355</v>
      </c>
      <c r="E26" s="205">
        <v>0</v>
      </c>
      <c r="F26" s="205">
        <v>0</v>
      </c>
      <c r="G26" s="205">
        <v>0</v>
      </c>
      <c r="H26" s="205">
        <v>0</v>
      </c>
    </row>
    <row r="27" spans="1:13" x14ac:dyDescent="0.2">
      <c r="A27" s="202" t="s">
        <v>352</v>
      </c>
      <c r="B27" s="202" t="s">
        <v>26</v>
      </c>
      <c r="C27" s="202" t="s">
        <v>377</v>
      </c>
      <c r="D27" s="202" t="s">
        <v>356</v>
      </c>
      <c r="E27" s="205">
        <v>0</v>
      </c>
      <c r="F27" s="205">
        <v>0</v>
      </c>
      <c r="G27" s="205">
        <v>0</v>
      </c>
      <c r="H27" s="205">
        <v>0</v>
      </c>
    </row>
    <row r="28" spans="1:13" x14ac:dyDescent="0.2">
      <c r="A28" s="254" t="s">
        <v>352</v>
      </c>
      <c r="B28" s="254" t="s">
        <v>26</v>
      </c>
      <c r="C28" s="254" t="s">
        <v>377</v>
      </c>
      <c r="D28" s="254" t="s">
        <v>357</v>
      </c>
      <c r="E28" s="255">
        <v>62987301.740000002</v>
      </c>
      <c r="F28" s="255">
        <v>5476</v>
      </c>
      <c r="G28" s="255">
        <v>3986</v>
      </c>
      <c r="H28" s="255">
        <v>3184</v>
      </c>
    </row>
    <row r="29" spans="1:13" x14ac:dyDescent="0.2">
      <c r="A29" s="202" t="s">
        <v>352</v>
      </c>
      <c r="B29" s="202" t="s">
        <v>26</v>
      </c>
      <c r="C29" s="202" t="s">
        <v>377</v>
      </c>
      <c r="D29" s="202" t="s">
        <v>49</v>
      </c>
      <c r="E29" s="205">
        <v>720</v>
      </c>
      <c r="F29" s="205">
        <v>0</v>
      </c>
      <c r="G29" s="205">
        <v>0</v>
      </c>
      <c r="H29" s="205">
        <v>0</v>
      </c>
    </row>
    <row r="30" spans="1:13" x14ac:dyDescent="0.2">
      <c r="A30" s="202" t="s">
        <v>352</v>
      </c>
      <c r="B30" s="202" t="s">
        <v>26</v>
      </c>
      <c r="C30" s="202" t="s">
        <v>377</v>
      </c>
      <c r="D30" s="202" t="s">
        <v>50</v>
      </c>
      <c r="E30" s="205">
        <v>10</v>
      </c>
      <c r="F30" s="205">
        <v>0</v>
      </c>
      <c r="G30" s="205">
        <v>0</v>
      </c>
      <c r="H30" s="205">
        <v>0</v>
      </c>
    </row>
    <row r="31" spans="1:13" x14ac:dyDescent="0.2">
      <c r="D31" s="209" t="s">
        <v>93</v>
      </c>
      <c r="E31" s="210">
        <f>SUM(E3:E6,E20,E22)</f>
        <v>29986317.52</v>
      </c>
      <c r="F31" s="210">
        <f>SUM(F3:F6,F20,F22)</f>
        <v>2527</v>
      </c>
      <c r="G31" s="210">
        <f>SUM(G3:G6,G20,G22)</f>
        <v>1840</v>
      </c>
      <c r="H31" s="210">
        <f>SUM(H3:H6,H20,H22)</f>
        <v>1489</v>
      </c>
      <c r="I31" s="212"/>
      <c r="K31" s="393">
        <f>SUM(H31)/G31*100</f>
        <v>80.923913043478251</v>
      </c>
      <c r="M31" s="511">
        <f>SUM(E31)/H31</f>
        <v>20138.56112827401</v>
      </c>
    </row>
    <row r="32" spans="1:13" x14ac:dyDescent="0.2">
      <c r="D32" s="416" t="s">
        <v>105</v>
      </c>
      <c r="E32" s="393">
        <f>E3+E4+E5+E6+E20+E22</f>
        <v>29986317.52</v>
      </c>
      <c r="I32" s="212"/>
    </row>
    <row r="33" spans="4:13" x14ac:dyDescent="0.2">
      <c r="D33" s="204"/>
      <c r="E33" s="205">
        <f>SUM(E3:E20,E22,E24:E27)</f>
        <v>31493650.870000001</v>
      </c>
      <c r="I33" s="212"/>
    </row>
    <row r="34" spans="4:13" x14ac:dyDescent="0.2">
      <c r="D34" s="209" t="s">
        <v>295</v>
      </c>
      <c r="E34" s="210">
        <f>SUM(E3:E6,E15,E20,E22)</f>
        <v>30724606.41</v>
      </c>
      <c r="F34" s="210">
        <f>SUM(F3:F6,F15,F20,F22)</f>
        <v>2613</v>
      </c>
      <c r="G34" s="210">
        <f>SUM(G3:G6,G15,G20,G22)</f>
        <v>1910</v>
      </c>
      <c r="H34" s="210">
        <f>SUM(H3:H6,H15,H20,H22)</f>
        <v>1553</v>
      </c>
      <c r="I34" s="212"/>
      <c r="K34" s="393">
        <f>SUM(H34)/G34*100</f>
        <v>81.308900523560212</v>
      </c>
      <c r="M34" s="511">
        <f>SUM(E34)/H34</f>
        <v>19784.035035415327</v>
      </c>
    </row>
    <row r="35" spans="4:13" x14ac:dyDescent="0.2">
      <c r="D35" s="416" t="s">
        <v>105</v>
      </c>
      <c r="E35" s="393">
        <f>E3+E4+E5+E6+E15+E20+E22</f>
        <v>30724606.41</v>
      </c>
      <c r="F35" s="202"/>
      <c r="G35" s="202"/>
      <c r="H35" s="202"/>
    </row>
    <row r="36" spans="4:13" x14ac:dyDescent="0.2">
      <c r="D36" s="204"/>
      <c r="E36" s="205">
        <f>SUM(E3:E20,E22,E24:E27)</f>
        <v>31493650.870000001</v>
      </c>
      <c r="F36" s="202"/>
      <c r="G36" s="202"/>
      <c r="H36" s="20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B1:K41"/>
  <sheetViews>
    <sheetView zoomScale="90" zoomScaleNormal="90" workbookViewId="0">
      <selection activeCell="B1" sqref="B1"/>
    </sheetView>
  </sheetViews>
  <sheetFormatPr defaultRowHeight="14.25" x14ac:dyDescent="0.2"/>
  <cols>
    <col min="1" max="1" width="1.85546875" style="117" customWidth="1"/>
    <col min="2" max="2" width="8" style="117" customWidth="1"/>
    <col min="3" max="3" width="63.28515625" style="117" customWidth="1"/>
    <col min="4" max="4" width="11.28515625" style="117" customWidth="1"/>
    <col min="5" max="5" width="10.85546875" style="117" customWidth="1"/>
    <col min="6" max="6" width="11.42578125" style="117" customWidth="1"/>
    <col min="7" max="7" width="14.85546875" style="117" customWidth="1"/>
    <col min="8" max="8" width="17" style="117" customWidth="1"/>
    <col min="9" max="9" width="11.5703125" style="117" customWidth="1"/>
    <col min="10" max="10" width="14.5703125" style="117" customWidth="1"/>
    <col min="11" max="11" width="12.42578125" style="117" customWidth="1"/>
    <col min="12" max="12" width="4" style="117" customWidth="1"/>
    <col min="13" max="16384" width="9.140625" style="117"/>
  </cols>
  <sheetData>
    <row r="1" spans="2:11" ht="15.75" thickBot="1" x14ac:dyDescent="0.25">
      <c r="B1" s="230" t="s">
        <v>281</v>
      </c>
      <c r="E1" s="147"/>
      <c r="G1" s="416" t="s">
        <v>269</v>
      </c>
      <c r="H1" s="572" t="s">
        <v>266</v>
      </c>
      <c r="I1" s="118"/>
      <c r="J1" s="118"/>
    </row>
    <row r="2" spans="2:11" x14ac:dyDescent="0.2">
      <c r="B2" s="315"/>
      <c r="C2" s="610" t="s">
        <v>323</v>
      </c>
      <c r="D2" s="316"/>
      <c r="E2" s="317"/>
      <c r="F2" s="318"/>
      <c r="G2" s="316"/>
      <c r="H2" s="318"/>
      <c r="I2" s="316"/>
      <c r="J2" s="316"/>
      <c r="K2" s="319"/>
    </row>
    <row r="3" spans="2:11" ht="68.25" customHeight="1" x14ac:dyDescent="0.2">
      <c r="B3" s="320"/>
      <c r="C3" s="611"/>
      <c r="D3" s="321" t="s">
        <v>108</v>
      </c>
      <c r="E3" s="322" t="s">
        <v>109</v>
      </c>
      <c r="F3" s="323" t="s">
        <v>110</v>
      </c>
      <c r="G3" s="324" t="s">
        <v>111</v>
      </c>
      <c r="H3" s="323" t="s">
        <v>270</v>
      </c>
      <c r="I3" s="321" t="s">
        <v>167</v>
      </c>
      <c r="J3" s="325" t="s">
        <v>164</v>
      </c>
      <c r="K3" s="326" t="s">
        <v>112</v>
      </c>
    </row>
    <row r="4" spans="2:11" x14ac:dyDescent="0.2">
      <c r="B4" s="327" t="s">
        <v>106</v>
      </c>
      <c r="C4" s="611"/>
      <c r="D4" s="321"/>
      <c r="E4" s="322"/>
      <c r="F4" s="323"/>
      <c r="G4" s="321"/>
      <c r="H4" s="323"/>
      <c r="I4" s="321"/>
      <c r="J4" s="328"/>
      <c r="K4" s="326"/>
    </row>
    <row r="5" spans="2:11" ht="15" thickBot="1" x14ac:dyDescent="0.25">
      <c r="B5" s="329"/>
      <c r="C5" s="612"/>
      <c r="D5" s="330"/>
      <c r="E5" s="331"/>
      <c r="F5" s="332"/>
      <c r="G5" s="330"/>
      <c r="H5" s="332"/>
      <c r="I5" s="330"/>
      <c r="J5" s="330"/>
      <c r="K5" s="333"/>
    </row>
    <row r="6" spans="2:11" ht="16.5" customHeight="1" x14ac:dyDescent="0.2">
      <c r="B6" s="131">
        <v>1</v>
      </c>
      <c r="C6" s="132" t="s">
        <v>2</v>
      </c>
      <c r="D6" s="133">
        <f>SUM('z16'!F6)</f>
        <v>3507</v>
      </c>
      <c r="E6" s="134">
        <f>SUM('z16'!G6)</f>
        <v>3183</v>
      </c>
      <c r="F6" s="135">
        <f>SUM('z16'!H6)</f>
        <v>1606</v>
      </c>
      <c r="G6" s="136">
        <f>SUM(F6/E6)*100</f>
        <v>50.45554508325479</v>
      </c>
      <c r="H6" s="137">
        <f>SUM(J6/F6)</f>
        <v>5629.4520547945194</v>
      </c>
      <c r="I6" s="136">
        <f>SUM('z16'!E6)</f>
        <v>9040.8999999999978</v>
      </c>
      <c r="J6" s="133">
        <f>SUM(I6*1000)</f>
        <v>9040899.9999999981</v>
      </c>
      <c r="K6" s="138">
        <f>SUM(J6/D6)</f>
        <v>2577.9583689763326</v>
      </c>
    </row>
    <row r="7" spans="2:11" ht="15" customHeight="1" x14ac:dyDescent="0.2">
      <c r="B7" s="119">
        <v>2</v>
      </c>
      <c r="C7" s="120" t="s">
        <v>1</v>
      </c>
      <c r="D7" s="121">
        <f>SUM('z16'!F5)</f>
        <v>18800</v>
      </c>
      <c r="E7" s="122">
        <f>SUM('z16'!G5)</f>
        <v>13100</v>
      </c>
      <c r="F7" s="123">
        <f>SUM('z16'!H5)</f>
        <v>10734</v>
      </c>
      <c r="G7" s="124">
        <f t="shared" ref="G7:G11" si="0">SUM(F7/E7)*100</f>
        <v>81.938931297709928</v>
      </c>
      <c r="H7" s="125">
        <f t="shared" ref="H7:H11" si="1">SUM(J7/F7)</f>
        <v>9326.86789640395</v>
      </c>
      <c r="I7" s="124">
        <f>SUM('z16'!E5)</f>
        <v>100114.6</v>
      </c>
      <c r="J7" s="121">
        <f t="shared" ref="J7:J11" si="2">SUM(I7*1000)</f>
        <v>100114600</v>
      </c>
      <c r="K7" s="126">
        <f>SUM(J7/D7)</f>
        <v>5325.244680851064</v>
      </c>
    </row>
    <row r="8" spans="2:11" ht="15" customHeight="1" x14ac:dyDescent="0.2">
      <c r="B8" s="119">
        <v>3</v>
      </c>
      <c r="C8" s="120" t="s">
        <v>3</v>
      </c>
      <c r="D8" s="121">
        <f>SUM('z16'!F7)</f>
        <v>5421</v>
      </c>
      <c r="E8" s="122">
        <f>SUM('z16'!G7)</f>
        <v>3941</v>
      </c>
      <c r="F8" s="123">
        <f>SUM('z16'!H7)</f>
        <v>3403</v>
      </c>
      <c r="G8" s="124">
        <f t="shared" si="0"/>
        <v>86.348642476528809</v>
      </c>
      <c r="H8" s="125">
        <f t="shared" si="1"/>
        <v>6491.8307375844843</v>
      </c>
      <c r="I8" s="124">
        <f>SUM('z16'!E7)</f>
        <v>22091.7</v>
      </c>
      <c r="J8" s="121">
        <f t="shared" si="2"/>
        <v>22091700</v>
      </c>
      <c r="K8" s="126">
        <f>SUM(J8/D8)</f>
        <v>4075.2075262866629</v>
      </c>
    </row>
    <row r="9" spans="2:11" ht="18.75" customHeight="1" x14ac:dyDescent="0.2">
      <c r="B9" s="119">
        <v>4</v>
      </c>
      <c r="C9" s="120" t="s">
        <v>4</v>
      </c>
      <c r="D9" s="121">
        <f>SUM('z16'!F8)</f>
        <v>2615</v>
      </c>
      <c r="E9" s="122">
        <f>SUM('z16'!G8)</f>
        <v>2277</v>
      </c>
      <c r="F9" s="123">
        <f>SUM('z16'!H8)</f>
        <v>1955</v>
      </c>
      <c r="G9" s="124">
        <f t="shared" si="0"/>
        <v>85.858585858585855</v>
      </c>
      <c r="H9" s="125">
        <f t="shared" si="1"/>
        <v>12866.240409207159</v>
      </c>
      <c r="I9" s="124">
        <f>SUM('z16'!E8)</f>
        <v>25153.499999999996</v>
      </c>
      <c r="J9" s="121">
        <f t="shared" si="2"/>
        <v>25153499.999999996</v>
      </c>
      <c r="K9" s="126">
        <f t="shared" ref="K9:K11" si="3">SUM(J9/D9)</f>
        <v>9618.929254302102</v>
      </c>
    </row>
    <row r="10" spans="2:11" ht="15.75" customHeight="1" x14ac:dyDescent="0.2">
      <c r="B10" s="119">
        <v>5</v>
      </c>
      <c r="C10" s="120" t="s">
        <v>58</v>
      </c>
      <c r="D10" s="121">
        <f>SUM('z16'!F22)</f>
        <v>2979</v>
      </c>
      <c r="E10" s="122">
        <f>SUM('z16'!G22)</f>
        <v>2842</v>
      </c>
      <c r="F10" s="123">
        <f>SUM('z16'!H22)</f>
        <v>2688</v>
      </c>
      <c r="G10" s="124">
        <f t="shared" si="0"/>
        <v>94.581280788177338</v>
      </c>
      <c r="H10" s="125">
        <f t="shared" si="1"/>
        <v>22270.498511904763</v>
      </c>
      <c r="I10" s="124">
        <f>SUM('z16'!E22)</f>
        <v>59863.100000000006</v>
      </c>
      <c r="J10" s="121">
        <f t="shared" si="2"/>
        <v>59863100.000000007</v>
      </c>
      <c r="K10" s="126">
        <f t="shared" si="3"/>
        <v>20095.031889895941</v>
      </c>
    </row>
    <row r="11" spans="2:11" ht="18" customHeight="1" x14ac:dyDescent="0.2">
      <c r="B11" s="139">
        <v>6</v>
      </c>
      <c r="C11" s="140" t="s">
        <v>59</v>
      </c>
      <c r="D11" s="141">
        <f>SUM('z16'!F24)</f>
        <v>2450</v>
      </c>
      <c r="E11" s="142">
        <f>SUM('z16'!G24)</f>
        <v>2969</v>
      </c>
      <c r="F11" s="143">
        <f>SUM('z16'!H24)</f>
        <v>2425</v>
      </c>
      <c r="G11" s="144">
        <f t="shared" si="0"/>
        <v>81.677332435163351</v>
      </c>
      <c r="H11" s="145">
        <f t="shared" si="1"/>
        <v>20028.659793814433</v>
      </c>
      <c r="I11" s="144">
        <f>SUM('z16'!E24)</f>
        <v>48569.5</v>
      </c>
      <c r="J11" s="141">
        <f t="shared" si="2"/>
        <v>48569500</v>
      </c>
      <c r="K11" s="146">
        <f t="shared" si="3"/>
        <v>19824.285714285714</v>
      </c>
    </row>
    <row r="12" spans="2:11" ht="18" customHeight="1" thickBot="1" x14ac:dyDescent="0.25">
      <c r="B12" s="139">
        <v>7</v>
      </c>
      <c r="C12" s="140" t="s">
        <v>11</v>
      </c>
      <c r="D12" s="141">
        <f>SUM('z16'!F17)</f>
        <v>998</v>
      </c>
      <c r="E12" s="142">
        <f>SUM('z16'!G17)</f>
        <v>725</v>
      </c>
      <c r="F12" s="143">
        <f>SUM('z16'!H17)</f>
        <v>658</v>
      </c>
      <c r="G12" s="144">
        <f>SUM(F12/E12)*100</f>
        <v>90.758620689655174</v>
      </c>
      <c r="H12" s="145">
        <f>SUM(J12/F12)</f>
        <v>10738.145896656533</v>
      </c>
      <c r="I12" s="144">
        <f>SUM('z16'!E17)</f>
        <v>7065.6999999999989</v>
      </c>
      <c r="J12" s="141">
        <f>SUM(I12*1000)</f>
        <v>7065699.9999999991</v>
      </c>
      <c r="K12" s="146">
        <f>SUM(J12/D12)</f>
        <v>7079.8597194388767</v>
      </c>
    </row>
    <row r="13" spans="2:11" ht="15" customHeight="1" thickBot="1" x14ac:dyDescent="0.25">
      <c r="B13" s="334">
        <v>8</v>
      </c>
      <c r="C13" s="335" t="s">
        <v>305</v>
      </c>
      <c r="D13" s="336">
        <f>SUM(D6:D11)</f>
        <v>35772</v>
      </c>
      <c r="E13" s="337">
        <f>SUM(E6:E11)</f>
        <v>28312</v>
      </c>
      <c r="F13" s="338">
        <f>SUM(F6:F11)</f>
        <v>22811</v>
      </c>
      <c r="G13" s="339">
        <f>SUM(F13/E13)*100</f>
        <v>80.570076292738051</v>
      </c>
      <c r="H13" s="340">
        <f>SUM(J13/F13)</f>
        <v>11609.894349217486</v>
      </c>
      <c r="I13" s="339">
        <f>SUM(I6:I11)</f>
        <v>264833.30000000005</v>
      </c>
      <c r="J13" s="336">
        <f>SUM(I13*1000)</f>
        <v>264833300.00000006</v>
      </c>
      <c r="K13" s="342">
        <f>SUM(J13/D13)</f>
        <v>7403.3685564128382</v>
      </c>
    </row>
    <row r="14" spans="2:11" ht="15" customHeight="1" thickBot="1" x14ac:dyDescent="0.25">
      <c r="B14" s="334">
        <v>9</v>
      </c>
      <c r="C14" s="335" t="s">
        <v>309</v>
      </c>
      <c r="D14" s="336">
        <f>SUM(D6:D12)</f>
        <v>36770</v>
      </c>
      <c r="E14" s="337">
        <f>SUM(E6:E12)</f>
        <v>29037</v>
      </c>
      <c r="F14" s="338">
        <f>SUM(F6:F12)</f>
        <v>23469</v>
      </c>
      <c r="G14" s="339">
        <f>SUM(F14/E14)*100</f>
        <v>80.824465337328235</v>
      </c>
      <c r="H14" s="340">
        <f>SUM(J14/F14)</f>
        <v>11585.453150965106</v>
      </c>
      <c r="I14" s="339">
        <f>SUM(I6:I12)</f>
        <v>271899.00000000006</v>
      </c>
      <c r="J14" s="336">
        <f>SUM(I14*1000)</f>
        <v>271899000.00000006</v>
      </c>
      <c r="K14" s="342">
        <f>SUM(J14/D14)</f>
        <v>7394.5879793309778</v>
      </c>
    </row>
    <row r="16" spans="2:11" x14ac:dyDescent="0.2">
      <c r="I16" s="129"/>
      <c r="J16" s="128"/>
    </row>
    <row r="17" spans="6:10" x14ac:dyDescent="0.2">
      <c r="I17" s="129"/>
      <c r="J17" s="130"/>
    </row>
    <row r="21" spans="6:10" ht="15" x14ac:dyDescent="0.2">
      <c r="F21" s="148"/>
    </row>
    <row r="22" spans="6:10" x14ac:dyDescent="0.2">
      <c r="F22" s="127"/>
    </row>
    <row r="23" spans="6:10" x14ac:dyDescent="0.2">
      <c r="F23" s="127"/>
    </row>
    <row r="39" spans="6:6" ht="15" x14ac:dyDescent="0.2">
      <c r="F39" s="148"/>
    </row>
    <row r="40" spans="6:6" x14ac:dyDescent="0.2">
      <c r="F40" s="127"/>
    </row>
    <row r="41" spans="6:6" x14ac:dyDescent="0.2">
      <c r="F41" s="127"/>
    </row>
  </sheetData>
  <mergeCells count="1">
    <mergeCell ref="C2:C5"/>
  </mergeCells>
  <pageMargins left="0.7" right="0.7" top="0.75" bottom="0.75" header="0.3" footer="0.3"/>
  <pageSetup paperSize="9" scale="72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Arkusz50">
    <tabColor rgb="FFFF9900"/>
  </sheetPr>
  <dimension ref="A1"/>
  <sheetViews>
    <sheetView zoomScale="80" zoomScaleNormal="80" workbookViewId="0"/>
  </sheetViews>
  <sheetFormatPr defaultRowHeight="15" x14ac:dyDescent="0.25"/>
  <cols>
    <col min="1" max="16384" width="9.140625" style="777"/>
  </cols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theme="5" tint="-0.249977111117893"/>
  </sheetPr>
  <dimension ref="B1:O20"/>
  <sheetViews>
    <sheetView zoomScaleNormal="100" workbookViewId="0">
      <selection activeCell="B1" sqref="B1"/>
    </sheetView>
  </sheetViews>
  <sheetFormatPr defaultRowHeight="12" x14ac:dyDescent="0.2"/>
  <cols>
    <col min="1" max="1" width="3" style="149" customWidth="1"/>
    <col min="2" max="2" width="24.140625" style="149" customWidth="1"/>
    <col min="3" max="14" width="9.140625" style="149"/>
    <col min="15" max="15" width="9.42578125" style="149" customWidth="1"/>
    <col min="16" max="16384" width="9.140625" style="149"/>
  </cols>
  <sheetData>
    <row r="1" spans="2:15" ht="12.75" thickBot="1" x14ac:dyDescent="0.25">
      <c r="B1" s="149" t="s">
        <v>271</v>
      </c>
    </row>
    <row r="2" spans="2:15" x14ac:dyDescent="0.2">
      <c r="B2" s="671" t="s">
        <v>172</v>
      </c>
      <c r="C2" s="668">
        <v>1995</v>
      </c>
      <c r="D2" s="668">
        <v>1998</v>
      </c>
      <c r="E2" s="668">
        <v>2000</v>
      </c>
      <c r="F2" s="668">
        <v>2003</v>
      </c>
      <c r="G2" s="668">
        <v>2005</v>
      </c>
      <c r="H2" s="668">
        <v>2015</v>
      </c>
      <c r="I2" s="668">
        <v>2016</v>
      </c>
      <c r="J2" s="668">
        <v>2017</v>
      </c>
      <c r="K2" s="668">
        <v>2018</v>
      </c>
      <c r="L2" s="668">
        <v>2019</v>
      </c>
      <c r="M2" s="668">
        <v>2020</v>
      </c>
      <c r="N2" s="668">
        <v>2021</v>
      </c>
      <c r="O2" s="395" t="s">
        <v>173</v>
      </c>
    </row>
    <row r="3" spans="2:15" ht="15" customHeight="1" x14ac:dyDescent="0.2">
      <c r="B3" s="672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396" t="s">
        <v>174</v>
      </c>
    </row>
    <row r="4" spans="2:15" ht="15" customHeight="1" x14ac:dyDescent="0.2">
      <c r="B4" s="672"/>
      <c r="C4" s="669"/>
      <c r="D4" s="669"/>
      <c r="E4" s="669"/>
      <c r="F4" s="669"/>
      <c r="G4" s="669"/>
      <c r="H4" s="669"/>
      <c r="I4" s="669"/>
      <c r="J4" s="669"/>
      <c r="K4" s="669"/>
      <c r="L4" s="669"/>
      <c r="M4" s="669"/>
      <c r="N4" s="669"/>
      <c r="O4" s="396" t="s">
        <v>175</v>
      </c>
    </row>
    <row r="5" spans="2:15" ht="15.75" customHeight="1" thickBot="1" x14ac:dyDescent="0.25">
      <c r="B5" s="673"/>
      <c r="C5" s="670"/>
      <c r="D5" s="670"/>
      <c r="E5" s="670"/>
      <c r="F5" s="670"/>
      <c r="G5" s="670"/>
      <c r="H5" s="670"/>
      <c r="I5" s="670"/>
      <c r="J5" s="670"/>
      <c r="K5" s="670"/>
      <c r="L5" s="670"/>
      <c r="M5" s="670"/>
      <c r="N5" s="670"/>
      <c r="O5" s="397">
        <v>1</v>
      </c>
    </row>
    <row r="6" spans="2:15" ht="12.75" thickBot="1" x14ac:dyDescent="0.25">
      <c r="B6" s="295" t="s">
        <v>137</v>
      </c>
      <c r="C6" s="296">
        <v>3461.1</v>
      </c>
      <c r="D6" s="296">
        <v>3378.7</v>
      </c>
      <c r="E6" s="296">
        <v>2955</v>
      </c>
      <c r="F6" s="296">
        <v>2639.1</v>
      </c>
      <c r="G6" s="296">
        <v>2665.4</v>
      </c>
      <c r="H6" s="296">
        <v>2705.6</v>
      </c>
      <c r="I6" s="296">
        <v>2777.9</v>
      </c>
      <c r="J6" s="297">
        <v>2849.7</v>
      </c>
      <c r="K6" s="298">
        <f>SUM(K13,K7)</f>
        <v>2905.3999999999996</v>
      </c>
      <c r="L6" s="297">
        <v>2951.4</v>
      </c>
      <c r="M6" s="299">
        <v>2898.2</v>
      </c>
      <c r="N6" s="299">
        <v>2939.3</v>
      </c>
      <c r="O6" s="300">
        <f>(N6-C6)/C6*100</f>
        <v>-15.076131865591858</v>
      </c>
    </row>
    <row r="7" spans="2:15" ht="12.75" thickBot="1" x14ac:dyDescent="0.25">
      <c r="B7" s="301" t="s">
        <v>176</v>
      </c>
      <c r="C7" s="302">
        <v>1890.1</v>
      </c>
      <c r="D7" s="302">
        <v>1120</v>
      </c>
      <c r="E7" s="302">
        <v>838.8</v>
      </c>
      <c r="F7" s="302">
        <v>595.20000000000005</v>
      </c>
      <c r="G7" s="302">
        <v>504.1</v>
      </c>
      <c r="H7" s="302">
        <v>296.5</v>
      </c>
      <c r="I7" s="302">
        <v>274.89999999999998</v>
      </c>
      <c r="J7" s="303">
        <v>273</v>
      </c>
      <c r="K7" s="304">
        <v>276.2</v>
      </c>
      <c r="L7" s="303">
        <v>276.7</v>
      </c>
      <c r="M7" s="303">
        <v>276.8</v>
      </c>
      <c r="N7" s="303">
        <v>273.2</v>
      </c>
      <c r="O7" s="300">
        <f>(N7-C7)/C7*100</f>
        <v>-85.545738320723757</v>
      </c>
    </row>
    <row r="8" spans="2:15" ht="12.75" thickBot="1" x14ac:dyDescent="0.25">
      <c r="B8" s="305" t="s">
        <v>124</v>
      </c>
      <c r="C8" s="306"/>
      <c r="D8" s="306"/>
      <c r="E8" s="306"/>
      <c r="F8" s="307"/>
      <c r="G8" s="307"/>
      <c r="H8" s="307"/>
      <c r="I8" s="307"/>
      <c r="J8" s="308"/>
      <c r="K8" s="308"/>
      <c r="L8" s="308"/>
      <c r="M8" s="308"/>
      <c r="N8" s="308"/>
      <c r="O8" s="307"/>
    </row>
    <row r="9" spans="2:15" ht="12.75" thickBot="1" x14ac:dyDescent="0.25">
      <c r="B9" s="295" t="s">
        <v>177</v>
      </c>
      <c r="C9" s="296">
        <v>1724.6</v>
      </c>
      <c r="D9" s="296">
        <v>909.7</v>
      </c>
      <c r="E9" s="296">
        <v>673.1</v>
      </c>
      <c r="F9" s="296">
        <v>462.9</v>
      </c>
      <c r="G9" s="296">
        <v>363.2</v>
      </c>
      <c r="H9" s="296" t="s">
        <v>178</v>
      </c>
      <c r="I9" s="296" t="s">
        <v>178</v>
      </c>
      <c r="J9" s="297" t="s">
        <v>178</v>
      </c>
      <c r="K9" s="298" t="s">
        <v>178</v>
      </c>
      <c r="L9" s="297" t="s">
        <v>178</v>
      </c>
      <c r="M9" s="297" t="s">
        <v>178</v>
      </c>
      <c r="N9" s="299" t="s">
        <v>178</v>
      </c>
      <c r="O9" s="300" t="e">
        <f>(N9-C9)/C9*100</f>
        <v>#VALUE!</v>
      </c>
    </row>
    <row r="10" spans="2:15" ht="12.75" thickBot="1" x14ac:dyDescent="0.25">
      <c r="B10" s="295" t="s">
        <v>179</v>
      </c>
      <c r="C10" s="296">
        <v>969.1</v>
      </c>
      <c r="D10" s="296">
        <v>617.70000000000005</v>
      </c>
      <c r="E10" s="296">
        <v>464.6</v>
      </c>
      <c r="F10" s="296">
        <v>340.5</v>
      </c>
      <c r="G10" s="296">
        <v>266.89999999999998</v>
      </c>
      <c r="H10" s="296" t="s">
        <v>178</v>
      </c>
      <c r="I10" s="296" t="s">
        <v>178</v>
      </c>
      <c r="J10" s="299" t="s">
        <v>178</v>
      </c>
      <c r="K10" s="298" t="s">
        <v>178</v>
      </c>
      <c r="L10" s="299" t="s">
        <v>178</v>
      </c>
      <c r="M10" s="297" t="s">
        <v>178</v>
      </c>
      <c r="N10" s="299" t="s">
        <v>178</v>
      </c>
      <c r="O10" s="300" t="e">
        <f>(N10-C10)/C10*100</f>
        <v>#VALUE!</v>
      </c>
    </row>
    <row r="11" spans="2:15" ht="24.75" thickBot="1" x14ac:dyDescent="0.25">
      <c r="B11" s="295" t="s">
        <v>180</v>
      </c>
      <c r="C11" s="296">
        <v>720.7</v>
      </c>
      <c r="D11" s="296">
        <v>217.4</v>
      </c>
      <c r="E11" s="296">
        <v>96.3</v>
      </c>
      <c r="F11" s="296">
        <v>43.5</v>
      </c>
      <c r="G11" s="296">
        <v>22.4</v>
      </c>
      <c r="H11" s="296" t="s">
        <v>178</v>
      </c>
      <c r="I11" s="296" t="s">
        <v>178</v>
      </c>
      <c r="J11" s="299" t="s">
        <v>178</v>
      </c>
      <c r="K11" s="298" t="s">
        <v>178</v>
      </c>
      <c r="L11" s="299" t="s">
        <v>178</v>
      </c>
      <c r="M11" s="297" t="s">
        <v>178</v>
      </c>
      <c r="N11" s="299" t="s">
        <v>178</v>
      </c>
      <c r="O11" s="300" t="e">
        <f>(N11-C11)/C11*100</f>
        <v>#VALUE!</v>
      </c>
    </row>
    <row r="12" spans="2:15" ht="24.75" thickBot="1" x14ac:dyDescent="0.25">
      <c r="B12" s="295" t="s">
        <v>181</v>
      </c>
      <c r="C12" s="296">
        <v>93.5</v>
      </c>
      <c r="D12" s="296">
        <v>93.4</v>
      </c>
      <c r="E12" s="296">
        <v>90.7</v>
      </c>
      <c r="F12" s="296">
        <v>77.8</v>
      </c>
      <c r="G12" s="296">
        <v>72.2</v>
      </c>
      <c r="H12" s="296" t="s">
        <v>178</v>
      </c>
      <c r="I12" s="296" t="s">
        <v>178</v>
      </c>
      <c r="J12" s="299" t="s">
        <v>178</v>
      </c>
      <c r="K12" s="298" t="s">
        <v>178</v>
      </c>
      <c r="L12" s="299" t="s">
        <v>178</v>
      </c>
      <c r="M12" s="297" t="s">
        <v>178</v>
      </c>
      <c r="N12" s="299" t="s">
        <v>178</v>
      </c>
      <c r="O12" s="300" t="e">
        <f>(N12-C12)/C12*100</f>
        <v>#VALUE!</v>
      </c>
    </row>
    <row r="13" spans="2:15" ht="12.75" thickBot="1" x14ac:dyDescent="0.25">
      <c r="B13" s="301" t="s">
        <v>232</v>
      </c>
      <c r="C13" s="302">
        <v>1571</v>
      </c>
      <c r="D13" s="302">
        <v>2258.6999999999998</v>
      </c>
      <c r="E13" s="302">
        <v>2116.1999999999998</v>
      </c>
      <c r="F13" s="302">
        <v>2043.9</v>
      </c>
      <c r="G13" s="302">
        <v>2161.3000000000002</v>
      </c>
      <c r="H13" s="302">
        <v>2409.1</v>
      </c>
      <c r="I13" s="302">
        <v>2503</v>
      </c>
      <c r="J13" s="303">
        <v>2576.6999999999998</v>
      </c>
      <c r="K13" s="304">
        <v>2629.2</v>
      </c>
      <c r="L13" s="303">
        <v>2674.7</v>
      </c>
      <c r="M13" s="303">
        <v>2621.4</v>
      </c>
      <c r="N13" s="303">
        <v>2666.1</v>
      </c>
      <c r="O13" s="300">
        <f>(N13-C13)/C13*100</f>
        <v>69.707192870782933</v>
      </c>
    </row>
    <row r="14" spans="2:15" ht="12.75" thickBot="1" x14ac:dyDescent="0.25">
      <c r="B14" s="305" t="s">
        <v>124</v>
      </c>
      <c r="C14" s="307"/>
      <c r="D14" s="307"/>
      <c r="E14" s="307"/>
      <c r="F14" s="307"/>
      <c r="G14" s="307"/>
      <c r="H14" s="307"/>
      <c r="I14" s="307"/>
      <c r="J14" s="308"/>
      <c r="K14" s="308"/>
      <c r="L14" s="308"/>
      <c r="M14" s="308"/>
      <c r="N14" s="308"/>
      <c r="O14" s="307"/>
    </row>
    <row r="15" spans="2:15" ht="12.75" thickBot="1" x14ac:dyDescent="0.25">
      <c r="B15" s="295" t="s">
        <v>182</v>
      </c>
      <c r="C15" s="296">
        <v>1205.8</v>
      </c>
      <c r="D15" s="296">
        <v>1464.5</v>
      </c>
      <c r="E15" s="296">
        <v>1406.6</v>
      </c>
      <c r="F15" s="296">
        <v>1375</v>
      </c>
      <c r="G15" s="296">
        <v>1451.9</v>
      </c>
      <c r="H15" s="296">
        <v>1592.1</v>
      </c>
      <c r="I15" s="296">
        <v>1652.4</v>
      </c>
      <c r="J15" s="298">
        <v>1701.3</v>
      </c>
      <c r="K15" s="297">
        <v>1731.9</v>
      </c>
      <c r="L15" s="297">
        <v>1758</v>
      </c>
      <c r="M15" s="298">
        <v>1712.9</v>
      </c>
      <c r="N15" s="297">
        <v>1733.4</v>
      </c>
      <c r="O15" s="300">
        <f t="shared" ref="O15" si="0">(N15-C15)/C15*100</f>
        <v>43.755183280809433</v>
      </c>
    </row>
    <row r="16" spans="2:15" ht="12.75" thickBot="1" x14ac:dyDescent="0.25">
      <c r="B16" s="295" t="s">
        <v>183</v>
      </c>
      <c r="C16" s="296">
        <v>203.8</v>
      </c>
      <c r="D16" s="296">
        <v>163.19999999999999</v>
      </c>
      <c r="E16" s="296">
        <v>127.9</v>
      </c>
      <c r="F16" s="296">
        <v>93.8</v>
      </c>
      <c r="G16" s="296">
        <v>83.4</v>
      </c>
      <c r="H16" s="296">
        <v>46.1</v>
      </c>
      <c r="I16" s="296">
        <v>45.3</v>
      </c>
      <c r="J16" s="298">
        <v>44.5</v>
      </c>
      <c r="K16" s="299">
        <v>42.7</v>
      </c>
      <c r="L16" s="299">
        <v>41.2</v>
      </c>
      <c r="M16" s="298">
        <v>39.200000000000003</v>
      </c>
      <c r="N16" s="299">
        <v>38.200000000000003</v>
      </c>
      <c r="O16" s="300">
        <f>(N16-C16)/C16*100</f>
        <v>-81.256133464180579</v>
      </c>
    </row>
    <row r="17" spans="2:15" ht="12.75" thickBot="1" x14ac:dyDescent="0.25">
      <c r="B17" s="309" t="s">
        <v>184</v>
      </c>
      <c r="C17" s="310">
        <v>149.1</v>
      </c>
      <c r="D17" s="310">
        <v>259.7</v>
      </c>
      <c r="E17" s="310">
        <v>305.7</v>
      </c>
      <c r="F17" s="310">
        <v>384</v>
      </c>
      <c r="G17" s="310">
        <v>477.2</v>
      </c>
      <c r="H17" s="310">
        <v>734.5</v>
      </c>
      <c r="I17" s="310">
        <v>777.2</v>
      </c>
      <c r="J17" s="311">
        <v>805.8</v>
      </c>
      <c r="K17" s="312">
        <v>831.1</v>
      </c>
      <c r="L17" s="312">
        <v>858.1</v>
      </c>
      <c r="M17" s="311">
        <v>852</v>
      </c>
      <c r="N17" s="312">
        <v>875.7</v>
      </c>
      <c r="O17" s="300">
        <f>(N17-C17)/C17*100</f>
        <v>487.3239436619719</v>
      </c>
    </row>
    <row r="18" spans="2:15" x14ac:dyDescent="0.2">
      <c r="N18" s="129">
        <f>SUM(N7+N13)</f>
        <v>2939.2999999999997</v>
      </c>
    </row>
    <row r="19" spans="2:15" x14ac:dyDescent="0.2">
      <c r="N19" s="129">
        <f>SUM(N15+N17)</f>
        <v>2609.1000000000004</v>
      </c>
    </row>
    <row r="20" spans="2:15" x14ac:dyDescent="0.2">
      <c r="B20" s="313"/>
      <c r="N20" s="129">
        <f>SUM(N19-N13)</f>
        <v>-56.999999999999545</v>
      </c>
    </row>
  </sheetData>
  <mergeCells count="13">
    <mergeCell ref="N2:N5"/>
    <mergeCell ref="G2:G5"/>
    <mergeCell ref="B2:B5"/>
    <mergeCell ref="C2:C5"/>
    <mergeCell ref="D2:D5"/>
    <mergeCell ref="E2:E5"/>
    <mergeCell ref="F2:F5"/>
    <mergeCell ref="M2:M5"/>
    <mergeCell ref="L2:L5"/>
    <mergeCell ref="K2:K5"/>
    <mergeCell ref="H2:H5"/>
    <mergeCell ref="I2:I5"/>
    <mergeCell ref="J2:J5"/>
  </mergeCells>
  <pageMargins left="0.7" right="0.7" top="0.75" bottom="0.75" header="0.3" footer="0.3"/>
  <pageSetup paperSize="9" orientation="landscape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theme="5" tint="0.59999389629810485"/>
  </sheetPr>
  <dimension ref="A1:H47"/>
  <sheetViews>
    <sheetView zoomScale="80" zoomScaleNormal="80" workbookViewId="0">
      <selection activeCell="C25" sqref="C25"/>
    </sheetView>
  </sheetViews>
  <sheetFormatPr defaultRowHeight="11.25" x14ac:dyDescent="0.2"/>
  <cols>
    <col min="1" max="1" width="9.140625" style="183"/>
    <col min="2" max="2" width="59.85546875" style="183" customWidth="1"/>
    <col min="3" max="3" width="10.85546875" style="183" customWidth="1"/>
    <col min="4" max="4" width="8.5703125" style="183" customWidth="1"/>
    <col min="5" max="5" width="3.7109375" style="183" customWidth="1"/>
    <col min="6" max="6" width="13.28515625" style="183" customWidth="1"/>
    <col min="7" max="7" width="13.7109375" style="183" customWidth="1"/>
    <col min="8" max="8" width="10.85546875" style="183" customWidth="1"/>
    <col min="9" max="16384" width="9.140625" style="183"/>
  </cols>
  <sheetData>
    <row r="1" spans="1:8" x14ac:dyDescent="0.2">
      <c r="A1" s="694" t="s">
        <v>296</v>
      </c>
      <c r="B1" s="695"/>
      <c r="C1" s="695"/>
      <c r="D1" s="695"/>
      <c r="E1" s="695"/>
      <c r="F1" s="695"/>
      <c r="G1" s="695"/>
      <c r="H1" s="696"/>
    </row>
    <row r="2" spans="1:8" x14ac:dyDescent="0.2">
      <c r="A2" s="697"/>
      <c r="B2" s="698"/>
      <c r="C2" s="698"/>
      <c r="D2" s="698"/>
      <c r="E2" s="698"/>
      <c r="F2" s="698"/>
      <c r="G2" s="698"/>
      <c r="H2" s="699"/>
    </row>
    <row r="3" spans="1:8" x14ac:dyDescent="0.2">
      <c r="A3" s="700" t="s">
        <v>286</v>
      </c>
      <c r="B3" s="700"/>
      <c r="C3" s="701" t="s">
        <v>284</v>
      </c>
      <c r="D3" s="702"/>
      <c r="E3" s="703"/>
      <c r="F3" s="692" t="s">
        <v>285</v>
      </c>
      <c r="G3" s="692"/>
      <c r="H3" s="692"/>
    </row>
    <row r="4" spans="1:8" x14ac:dyDescent="0.2">
      <c r="A4" s="700"/>
      <c r="B4" s="700"/>
      <c r="C4" s="704"/>
      <c r="D4" s="705"/>
      <c r="E4" s="706"/>
      <c r="F4" s="692"/>
      <c r="G4" s="692"/>
      <c r="H4" s="692"/>
    </row>
    <row r="5" spans="1:8" x14ac:dyDescent="0.2">
      <c r="A5" s="700"/>
      <c r="B5" s="700"/>
      <c r="C5" s="704"/>
      <c r="D5" s="705"/>
      <c r="E5" s="706"/>
      <c r="F5" s="692"/>
      <c r="G5" s="692"/>
      <c r="H5" s="692"/>
    </row>
    <row r="6" spans="1:8" x14ac:dyDescent="0.2">
      <c r="A6" s="700"/>
      <c r="B6" s="700"/>
      <c r="C6" s="704"/>
      <c r="D6" s="705"/>
      <c r="E6" s="706"/>
      <c r="F6" s="692"/>
      <c r="G6" s="692"/>
      <c r="H6" s="692"/>
    </row>
    <row r="7" spans="1:8" ht="41.25" customHeight="1" x14ac:dyDescent="0.2">
      <c r="A7" s="700"/>
      <c r="B7" s="700"/>
      <c r="C7" s="707"/>
      <c r="D7" s="708"/>
      <c r="E7" s="709"/>
      <c r="F7" s="692"/>
      <c r="G7" s="692"/>
      <c r="H7" s="692"/>
    </row>
    <row r="8" spans="1:8" x14ac:dyDescent="0.2">
      <c r="A8" s="186"/>
      <c r="B8" s="186"/>
      <c r="C8" s="186"/>
      <c r="D8" s="186"/>
      <c r="E8" s="186"/>
      <c r="F8" s="186"/>
      <c r="G8" s="186"/>
      <c r="H8" s="186"/>
    </row>
    <row r="9" spans="1:8" x14ac:dyDescent="0.2">
      <c r="A9" s="187"/>
      <c r="B9" s="187"/>
      <c r="C9" s="187"/>
      <c r="D9" s="187"/>
      <c r="E9" s="187"/>
      <c r="F9" s="187"/>
      <c r="G9" s="187"/>
      <c r="H9" s="187"/>
    </row>
    <row r="10" spans="1:8" ht="52.5" customHeight="1" x14ac:dyDescent="0.2">
      <c r="A10" s="693" t="s">
        <v>21</v>
      </c>
      <c r="B10" s="693"/>
      <c r="C10" s="693"/>
      <c r="D10" s="681" t="s">
        <v>287</v>
      </c>
      <c r="E10" s="682"/>
      <c r="F10" s="188" t="s">
        <v>288</v>
      </c>
      <c r="G10" s="188" t="s">
        <v>289</v>
      </c>
      <c r="H10" s="188" t="s">
        <v>290</v>
      </c>
    </row>
    <row r="11" spans="1:8" x14ac:dyDescent="0.2">
      <c r="A11" s="693">
        <v>0</v>
      </c>
      <c r="B11" s="693"/>
      <c r="C11" s="693"/>
      <c r="D11" s="681">
        <v>1</v>
      </c>
      <c r="E11" s="682"/>
      <c r="F11" s="188">
        <v>2</v>
      </c>
      <c r="G11" s="188">
        <v>3</v>
      </c>
      <c r="H11" s="188">
        <v>4</v>
      </c>
    </row>
    <row r="12" spans="1:8" x14ac:dyDescent="0.2">
      <c r="A12" s="680" t="s">
        <v>291</v>
      </c>
      <c r="B12" s="680"/>
      <c r="C12" s="189" t="s">
        <v>27</v>
      </c>
      <c r="D12" s="681"/>
      <c r="E12" s="682"/>
      <c r="F12" s="188"/>
      <c r="G12" s="188"/>
      <c r="H12" s="188"/>
    </row>
    <row r="13" spans="1:8" x14ac:dyDescent="0.2">
      <c r="A13" s="686" t="s">
        <v>121</v>
      </c>
      <c r="B13" s="686"/>
      <c r="C13" s="398" t="s">
        <v>28</v>
      </c>
      <c r="D13" s="687"/>
      <c r="E13" s="688"/>
      <c r="F13" s="399"/>
      <c r="G13" s="399"/>
      <c r="H13" s="400"/>
    </row>
    <row r="14" spans="1:8" x14ac:dyDescent="0.2">
      <c r="A14" s="690" t="s">
        <v>2</v>
      </c>
      <c r="B14" s="690"/>
      <c r="C14" s="398" t="s">
        <v>29</v>
      </c>
      <c r="D14" s="687"/>
      <c r="E14" s="688"/>
      <c r="F14" s="399"/>
      <c r="G14" s="399"/>
      <c r="H14" s="400"/>
    </row>
    <row r="15" spans="1:8" x14ac:dyDescent="0.2">
      <c r="A15" s="690" t="s">
        <v>3</v>
      </c>
      <c r="B15" s="690"/>
      <c r="C15" s="398" t="s">
        <v>30</v>
      </c>
      <c r="D15" s="687"/>
      <c r="E15" s="688"/>
      <c r="F15" s="399"/>
      <c r="G15" s="399"/>
      <c r="H15" s="400"/>
    </row>
    <row r="16" spans="1:8" x14ac:dyDescent="0.2">
      <c r="A16" s="692" t="s">
        <v>4</v>
      </c>
      <c r="B16" s="692"/>
      <c r="C16" s="398" t="s">
        <v>31</v>
      </c>
      <c r="D16" s="687"/>
      <c r="E16" s="688"/>
      <c r="F16" s="399"/>
      <c r="G16" s="399"/>
      <c r="H16" s="400"/>
    </row>
    <row r="17" spans="1:8" x14ac:dyDescent="0.2">
      <c r="A17" s="680" t="s">
        <v>5</v>
      </c>
      <c r="B17" s="680"/>
      <c r="C17" s="189" t="s">
        <v>32</v>
      </c>
      <c r="D17" s="681"/>
      <c r="E17" s="682"/>
      <c r="F17" s="190"/>
      <c r="G17" s="190"/>
      <c r="H17" s="188"/>
    </row>
    <row r="18" spans="1:8" x14ac:dyDescent="0.2">
      <c r="A18" s="680" t="s">
        <v>122</v>
      </c>
      <c r="B18" s="680"/>
      <c r="C18" s="189" t="s">
        <v>33</v>
      </c>
      <c r="D18" s="681"/>
      <c r="E18" s="682"/>
      <c r="F18" s="190"/>
      <c r="G18" s="190"/>
      <c r="H18" s="188"/>
    </row>
    <row r="19" spans="1:8" x14ac:dyDescent="0.2">
      <c r="A19" s="680" t="s">
        <v>6</v>
      </c>
      <c r="B19" s="680"/>
      <c r="C19" s="189" t="s">
        <v>34</v>
      </c>
      <c r="D19" s="681"/>
      <c r="E19" s="682"/>
      <c r="F19" s="190"/>
      <c r="G19" s="190"/>
      <c r="H19" s="188"/>
    </row>
    <row r="20" spans="1:8" x14ac:dyDescent="0.2">
      <c r="A20" s="680" t="s">
        <v>7</v>
      </c>
      <c r="B20" s="680"/>
      <c r="C20" s="189" t="s">
        <v>35</v>
      </c>
      <c r="D20" s="681"/>
      <c r="E20" s="682"/>
      <c r="F20" s="190"/>
      <c r="G20" s="190"/>
      <c r="H20" s="188"/>
    </row>
    <row r="21" spans="1:8" x14ac:dyDescent="0.2">
      <c r="A21" s="685" t="s">
        <v>8</v>
      </c>
      <c r="B21" s="685"/>
      <c r="C21" s="189" t="s">
        <v>36</v>
      </c>
      <c r="D21" s="681"/>
      <c r="E21" s="682"/>
      <c r="F21" s="190"/>
      <c r="G21" s="190"/>
      <c r="H21" s="188"/>
    </row>
    <row r="22" spans="1:8" x14ac:dyDescent="0.2">
      <c r="A22" s="691" t="s">
        <v>123</v>
      </c>
      <c r="B22" s="691"/>
      <c r="C22" s="189" t="s">
        <v>37</v>
      </c>
      <c r="D22" s="681"/>
      <c r="E22" s="682"/>
      <c r="F22" s="190"/>
      <c r="G22" s="190"/>
      <c r="H22" s="188"/>
    </row>
    <row r="23" spans="1:8" x14ac:dyDescent="0.2">
      <c r="A23" s="680" t="s">
        <v>9</v>
      </c>
      <c r="B23" s="680"/>
      <c r="C23" s="189" t="s">
        <v>26</v>
      </c>
      <c r="D23" s="681"/>
      <c r="E23" s="682"/>
      <c r="F23" s="190"/>
      <c r="G23" s="190"/>
      <c r="H23" s="188"/>
    </row>
    <row r="24" spans="1:8" x14ac:dyDescent="0.2">
      <c r="A24" s="685" t="s">
        <v>10</v>
      </c>
      <c r="B24" s="685"/>
      <c r="C24" s="189" t="s">
        <v>38</v>
      </c>
      <c r="D24" s="681"/>
      <c r="E24" s="682"/>
      <c r="F24" s="190"/>
      <c r="G24" s="190"/>
      <c r="H24" s="188"/>
    </row>
    <row r="25" spans="1:8" x14ac:dyDescent="0.2">
      <c r="A25" s="690" t="s">
        <v>11</v>
      </c>
      <c r="B25" s="690"/>
      <c r="C25" s="398" t="s">
        <v>39</v>
      </c>
      <c r="D25" s="687"/>
      <c r="E25" s="688"/>
      <c r="F25" s="399"/>
      <c r="G25" s="399"/>
      <c r="H25" s="400"/>
    </row>
    <row r="26" spans="1:8" x14ac:dyDescent="0.2">
      <c r="A26" s="689" t="s">
        <v>12</v>
      </c>
      <c r="B26" s="689"/>
      <c r="C26" s="189" t="s">
        <v>40</v>
      </c>
      <c r="D26" s="681"/>
      <c r="E26" s="682"/>
      <c r="F26" s="190"/>
      <c r="G26" s="190"/>
      <c r="H26" s="188"/>
    </row>
    <row r="27" spans="1:8" x14ac:dyDescent="0.2">
      <c r="A27" s="685" t="s">
        <v>13</v>
      </c>
      <c r="B27" s="685"/>
      <c r="C27" s="189" t="s">
        <v>41</v>
      </c>
      <c r="D27" s="681"/>
      <c r="E27" s="682"/>
      <c r="F27" s="190"/>
      <c r="G27" s="190"/>
      <c r="H27" s="188"/>
    </row>
    <row r="28" spans="1:8" x14ac:dyDescent="0.2">
      <c r="A28" s="689" t="s">
        <v>14</v>
      </c>
      <c r="B28" s="689"/>
      <c r="C28" s="189" t="s">
        <v>42</v>
      </c>
      <c r="D28" s="681"/>
      <c r="E28" s="682"/>
      <c r="F28" s="190"/>
      <c r="G28" s="190"/>
      <c r="H28" s="188"/>
    </row>
    <row r="29" spans="1:8" x14ac:dyDescent="0.2">
      <c r="A29" s="685" t="s">
        <v>15</v>
      </c>
      <c r="B29" s="685"/>
      <c r="C29" s="189" t="s">
        <v>43</v>
      </c>
      <c r="D29" s="681"/>
      <c r="E29" s="682"/>
      <c r="F29" s="190"/>
      <c r="G29" s="190"/>
      <c r="H29" s="188"/>
    </row>
    <row r="30" spans="1:8" x14ac:dyDescent="0.2">
      <c r="A30" s="686" t="s">
        <v>16</v>
      </c>
      <c r="B30" s="686"/>
      <c r="C30" s="398" t="s">
        <v>44</v>
      </c>
      <c r="D30" s="687"/>
      <c r="E30" s="688"/>
      <c r="F30" s="399"/>
      <c r="G30" s="399"/>
      <c r="H30" s="400"/>
    </row>
    <row r="31" spans="1:8" x14ac:dyDescent="0.2">
      <c r="A31" s="184" t="s">
        <v>124</v>
      </c>
      <c r="B31" s="185" t="s">
        <v>125</v>
      </c>
      <c r="C31" s="189" t="s">
        <v>45</v>
      </c>
      <c r="D31" s="681"/>
      <c r="E31" s="682"/>
      <c r="F31" s="190"/>
      <c r="G31" s="190"/>
      <c r="H31" s="188"/>
    </row>
    <row r="32" spans="1:8" x14ac:dyDescent="0.2">
      <c r="A32" s="686" t="s">
        <v>17</v>
      </c>
      <c r="B32" s="686"/>
      <c r="C32" s="398" t="s">
        <v>46</v>
      </c>
      <c r="D32" s="687"/>
      <c r="E32" s="688"/>
      <c r="F32" s="399"/>
      <c r="G32" s="399"/>
      <c r="H32" s="400"/>
    </row>
    <row r="33" spans="1:8" x14ac:dyDescent="0.2">
      <c r="A33" s="184" t="s">
        <v>124</v>
      </c>
      <c r="B33" s="185" t="s">
        <v>125</v>
      </c>
      <c r="C33" s="189">
        <v>22</v>
      </c>
      <c r="D33" s="191"/>
      <c r="E33" s="192"/>
      <c r="F33" s="190"/>
      <c r="G33" s="190"/>
      <c r="H33" s="188"/>
    </row>
    <row r="34" spans="1:8" x14ac:dyDescent="0.2">
      <c r="A34" s="680" t="s">
        <v>18</v>
      </c>
      <c r="B34" s="680"/>
      <c r="C34" s="189">
        <v>23</v>
      </c>
      <c r="D34" s="681"/>
      <c r="E34" s="682"/>
      <c r="F34" s="190"/>
      <c r="G34" s="190"/>
      <c r="H34" s="188"/>
    </row>
    <row r="35" spans="1:8" x14ac:dyDescent="0.2">
      <c r="A35" s="683" t="s">
        <v>19</v>
      </c>
      <c r="B35" s="684"/>
      <c r="C35" s="189">
        <v>24</v>
      </c>
      <c r="D35" s="191"/>
      <c r="E35" s="192"/>
      <c r="F35" s="190"/>
      <c r="G35" s="190"/>
      <c r="H35" s="188"/>
    </row>
    <row r="36" spans="1:8" x14ac:dyDescent="0.2">
      <c r="A36" s="683" t="s">
        <v>224</v>
      </c>
      <c r="B36" s="684"/>
      <c r="C36" s="189">
        <v>25</v>
      </c>
      <c r="D36" s="191"/>
      <c r="E36" s="192"/>
      <c r="F36" s="190"/>
      <c r="G36" s="190"/>
      <c r="H36" s="188"/>
    </row>
    <row r="37" spans="1:8" x14ac:dyDescent="0.2">
      <c r="A37" s="683" t="s">
        <v>283</v>
      </c>
      <c r="B37" s="684"/>
      <c r="C37" s="189">
        <v>26</v>
      </c>
      <c r="D37" s="191"/>
      <c r="E37" s="192"/>
      <c r="F37" s="190"/>
      <c r="G37" s="190"/>
      <c r="H37" s="188"/>
    </row>
    <row r="38" spans="1:8" x14ac:dyDescent="0.2">
      <c r="A38" s="685" t="s">
        <v>225</v>
      </c>
      <c r="B38" s="685"/>
      <c r="C38" s="189">
        <v>27</v>
      </c>
      <c r="D38" s="681"/>
      <c r="E38" s="682"/>
      <c r="F38" s="190"/>
      <c r="G38" s="190"/>
      <c r="H38" s="188"/>
    </row>
    <row r="39" spans="1:8" x14ac:dyDescent="0.2">
      <c r="A39" s="674" t="s">
        <v>292</v>
      </c>
      <c r="B39" s="674"/>
      <c r="C39" s="674"/>
      <c r="D39" s="674"/>
      <c r="E39" s="674"/>
      <c r="F39" s="674"/>
      <c r="G39" s="674"/>
      <c r="H39" s="674"/>
    </row>
    <row r="40" spans="1:8" x14ac:dyDescent="0.2">
      <c r="A40" s="675" t="s">
        <v>293</v>
      </c>
      <c r="B40" s="675"/>
      <c r="C40" s="675"/>
      <c r="D40" s="675"/>
      <c r="E40" s="675"/>
      <c r="F40" s="675"/>
      <c r="G40" s="675"/>
      <c r="H40" s="675"/>
    </row>
    <row r="41" spans="1:8" x14ac:dyDescent="0.2">
      <c r="A41" s="186"/>
      <c r="B41" s="186"/>
      <c r="C41" s="186"/>
      <c r="D41" s="186"/>
      <c r="E41" s="186"/>
      <c r="F41" s="186"/>
      <c r="G41" s="186"/>
      <c r="H41" s="186"/>
    </row>
    <row r="42" spans="1:8" x14ac:dyDescent="0.2">
      <c r="A42" s="193" t="s">
        <v>128</v>
      </c>
      <c r="B42" s="194"/>
      <c r="C42" s="194"/>
      <c r="D42" s="194"/>
      <c r="E42" s="195"/>
      <c r="F42" s="196"/>
      <c r="G42" s="196"/>
      <c r="H42" s="186"/>
    </row>
    <row r="43" spans="1:8" x14ac:dyDescent="0.2">
      <c r="A43" s="676" t="s">
        <v>129</v>
      </c>
      <c r="B43" s="677"/>
      <c r="C43" s="677"/>
      <c r="D43" s="678"/>
      <c r="E43" s="197"/>
      <c r="F43" s="196"/>
      <c r="G43" s="196"/>
      <c r="H43" s="186"/>
    </row>
    <row r="44" spans="1:8" x14ac:dyDescent="0.2">
      <c r="A44" s="186"/>
      <c r="B44" s="186"/>
      <c r="C44" s="186"/>
      <c r="D44" s="186"/>
      <c r="E44" s="679"/>
      <c r="F44" s="679"/>
      <c r="G44" s="186"/>
      <c r="H44" s="186"/>
    </row>
    <row r="45" spans="1:8" x14ac:dyDescent="0.2">
      <c r="A45" s="186"/>
      <c r="B45" s="198" t="s">
        <v>130</v>
      </c>
      <c r="C45" s="199"/>
      <c r="D45" s="186"/>
      <c r="E45" s="200"/>
      <c r="F45" s="198" t="s">
        <v>131</v>
      </c>
      <c r="G45" s="186"/>
      <c r="H45" s="186"/>
    </row>
    <row r="46" spans="1:8" x14ac:dyDescent="0.2">
      <c r="A46" s="186"/>
      <c r="B46" s="198" t="s">
        <v>132</v>
      </c>
      <c r="C46" s="199"/>
      <c r="D46" s="186"/>
      <c r="E46" s="200"/>
      <c r="F46" s="198" t="s">
        <v>133</v>
      </c>
      <c r="G46" s="186"/>
      <c r="H46" s="186"/>
    </row>
    <row r="47" spans="1:8" x14ac:dyDescent="0.2">
      <c r="A47" s="186"/>
      <c r="B47" s="198" t="s">
        <v>134</v>
      </c>
      <c r="C47" s="199"/>
      <c r="D47" s="186"/>
      <c r="E47" s="200"/>
      <c r="F47" s="186"/>
      <c r="G47" s="186"/>
      <c r="H47" s="186"/>
    </row>
  </sheetData>
  <mergeCells count="60">
    <mergeCell ref="A1:H2"/>
    <mergeCell ref="A3:B7"/>
    <mergeCell ref="C3:E7"/>
    <mergeCell ref="F3:H7"/>
    <mergeCell ref="A10:C10"/>
    <mergeCell ref="D10:E10"/>
    <mergeCell ref="A11:C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32:B32"/>
    <mergeCell ref="D32:E32"/>
    <mergeCell ref="A26:B26"/>
    <mergeCell ref="D26:E26"/>
    <mergeCell ref="A27:B27"/>
    <mergeCell ref="D27:E27"/>
    <mergeCell ref="A28:B28"/>
    <mergeCell ref="D28:E28"/>
    <mergeCell ref="A29:B29"/>
    <mergeCell ref="D29:E29"/>
    <mergeCell ref="A30:B30"/>
    <mergeCell ref="D30:E30"/>
    <mergeCell ref="D31:E31"/>
    <mergeCell ref="A39:H39"/>
    <mergeCell ref="A40:H40"/>
    <mergeCell ref="A43:D43"/>
    <mergeCell ref="E44:F44"/>
    <mergeCell ref="A34:B34"/>
    <mergeCell ref="D34:E34"/>
    <mergeCell ref="A35:B35"/>
    <mergeCell ref="A36:B36"/>
    <mergeCell ref="A37:B37"/>
    <mergeCell ref="A38:B38"/>
    <mergeCell ref="D38:E38"/>
  </mergeCells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theme="5" tint="0.59999389629810485"/>
    <pageSetUpPr fitToPage="1"/>
  </sheetPr>
  <dimension ref="B1:J42"/>
  <sheetViews>
    <sheetView zoomScale="80" zoomScaleNormal="80" workbookViewId="0">
      <selection activeCell="B1" sqref="B1"/>
    </sheetView>
  </sheetViews>
  <sheetFormatPr defaultRowHeight="12.75" x14ac:dyDescent="0.2"/>
  <cols>
    <col min="1" max="1" width="2.42578125" style="158" customWidth="1"/>
    <col min="2" max="2" width="57" style="158" customWidth="1"/>
    <col min="3" max="3" width="17.7109375" style="158" customWidth="1"/>
    <col min="4" max="4" width="18.5703125" style="158" customWidth="1"/>
    <col min="5" max="5" width="4.140625" style="158" customWidth="1"/>
    <col min="6" max="6" width="12.7109375" style="158" customWidth="1"/>
    <col min="7" max="7" width="16.7109375" style="158" customWidth="1"/>
    <col min="8" max="8" width="14" style="158" customWidth="1"/>
    <col min="9" max="9" width="12.28515625" style="158" customWidth="1"/>
    <col min="10" max="10" width="10.5703125" style="158" bestFit="1" customWidth="1"/>
    <col min="11" max="16384" width="9.140625" style="158"/>
  </cols>
  <sheetData>
    <row r="1" spans="2:10" ht="13.5" thickBot="1" x14ac:dyDescent="0.25">
      <c r="B1" s="161" t="s">
        <v>242</v>
      </c>
    </row>
    <row r="2" spans="2:10" ht="32.25" customHeight="1" thickBot="1" x14ac:dyDescent="0.25">
      <c r="B2" s="741" t="s">
        <v>243</v>
      </c>
      <c r="C2" s="742"/>
      <c r="D2" s="743" t="s">
        <v>244</v>
      </c>
      <c r="E2" s="743"/>
      <c r="F2" s="743"/>
      <c r="G2" s="743"/>
      <c r="H2" s="743"/>
      <c r="I2" s="744"/>
    </row>
    <row r="3" spans="2:10" ht="25.5" customHeight="1" x14ac:dyDescent="0.2">
      <c r="B3" s="745" t="s">
        <v>245</v>
      </c>
      <c r="C3" s="746"/>
      <c r="D3" s="751" t="s">
        <v>248</v>
      </c>
      <c r="E3" s="752"/>
      <c r="F3" s="753"/>
      <c r="G3" s="731" t="s">
        <v>204</v>
      </c>
      <c r="H3" s="732"/>
      <c r="I3" s="733"/>
    </row>
    <row r="4" spans="2:10" ht="38.25" customHeight="1" x14ac:dyDescent="0.2">
      <c r="B4" s="747" t="s">
        <v>246</v>
      </c>
      <c r="C4" s="748"/>
      <c r="D4" s="754" t="s">
        <v>249</v>
      </c>
      <c r="E4" s="755"/>
      <c r="F4" s="756"/>
      <c r="G4" s="734" t="s">
        <v>250</v>
      </c>
      <c r="H4" s="735"/>
      <c r="I4" s="736"/>
    </row>
    <row r="5" spans="2:10" ht="13.5" thickBot="1" x14ac:dyDescent="0.25">
      <c r="B5" s="749" t="s">
        <v>247</v>
      </c>
      <c r="C5" s="750"/>
      <c r="D5" s="737"/>
      <c r="E5" s="738"/>
      <c r="F5" s="757"/>
      <c r="G5" s="737"/>
      <c r="H5" s="738"/>
      <c r="I5" s="739"/>
    </row>
    <row r="6" spans="2:10" ht="19.5" customHeight="1" thickBot="1" x14ac:dyDescent="0.25">
      <c r="B6" s="717" t="s">
        <v>251</v>
      </c>
      <c r="C6" s="718"/>
      <c r="D6" s="728"/>
      <c r="E6" s="729"/>
      <c r="F6" s="730"/>
      <c r="G6" s="728"/>
      <c r="H6" s="729"/>
      <c r="I6" s="740"/>
    </row>
    <row r="7" spans="2:10" ht="38.25" x14ac:dyDescent="0.2">
      <c r="B7" s="719" t="s">
        <v>21</v>
      </c>
      <c r="C7" s="720"/>
      <c r="D7" s="720"/>
      <c r="E7" s="721"/>
      <c r="F7" s="162" t="s">
        <v>66</v>
      </c>
      <c r="G7" s="162" t="s">
        <v>252</v>
      </c>
      <c r="H7" s="162" t="s">
        <v>254</v>
      </c>
      <c r="I7" s="163" t="s">
        <v>255</v>
      </c>
    </row>
    <row r="8" spans="2:10" ht="25.5" x14ac:dyDescent="0.2">
      <c r="B8" s="719"/>
      <c r="C8" s="720"/>
      <c r="D8" s="720"/>
      <c r="E8" s="721"/>
      <c r="F8" s="162" t="s">
        <v>214</v>
      </c>
      <c r="G8" s="162" t="s">
        <v>253</v>
      </c>
      <c r="H8" s="162" t="s">
        <v>213</v>
      </c>
      <c r="I8" s="164" t="s">
        <v>222</v>
      </c>
    </row>
    <row r="9" spans="2:10" ht="41.25" x14ac:dyDescent="0.2">
      <c r="B9" s="719"/>
      <c r="C9" s="720"/>
      <c r="D9" s="720"/>
      <c r="E9" s="721"/>
      <c r="F9" s="162" t="s">
        <v>218</v>
      </c>
      <c r="G9" s="165" t="s">
        <v>222</v>
      </c>
      <c r="H9" s="162" t="s">
        <v>259</v>
      </c>
      <c r="I9" s="166"/>
    </row>
    <row r="10" spans="2:10" ht="13.5" thickBot="1" x14ac:dyDescent="0.25">
      <c r="B10" s="722"/>
      <c r="C10" s="723"/>
      <c r="D10" s="723"/>
      <c r="E10" s="724"/>
      <c r="F10" s="167" t="s">
        <v>221</v>
      </c>
      <c r="G10" s="168"/>
      <c r="H10" s="169"/>
      <c r="I10" s="170"/>
    </row>
    <row r="11" spans="2:10" ht="13.5" thickBot="1" x14ac:dyDescent="0.25">
      <c r="B11" s="725">
        <v>0</v>
      </c>
      <c r="C11" s="726"/>
      <c r="D11" s="726"/>
      <c r="E11" s="727"/>
      <c r="F11" s="171">
        <v>1</v>
      </c>
      <c r="G11" s="171">
        <v>2</v>
      </c>
      <c r="H11" s="171">
        <v>3</v>
      </c>
      <c r="I11" s="172">
        <v>4</v>
      </c>
    </row>
    <row r="12" spans="2:10" ht="15" customHeight="1" thickBot="1" x14ac:dyDescent="0.25">
      <c r="B12" s="713" t="s">
        <v>229</v>
      </c>
      <c r="C12" s="714"/>
      <c r="D12" s="715"/>
      <c r="E12" s="171">
        <v>1</v>
      </c>
      <c r="F12" s="171">
        <v>159828</v>
      </c>
      <c r="G12" s="171">
        <v>20862</v>
      </c>
      <c r="H12" s="171">
        <v>17283</v>
      </c>
      <c r="I12" s="172">
        <v>14914</v>
      </c>
    </row>
    <row r="13" spans="2:10" ht="13.5" thickBot="1" x14ac:dyDescent="0.25">
      <c r="B13" s="713" t="s">
        <v>1</v>
      </c>
      <c r="C13" s="714"/>
      <c r="D13" s="715"/>
      <c r="E13" s="171">
        <v>2</v>
      </c>
      <c r="F13" s="171">
        <v>48823.4</v>
      </c>
      <c r="G13" s="171">
        <v>8841</v>
      </c>
      <c r="H13" s="171">
        <v>5591</v>
      </c>
      <c r="I13" s="172">
        <v>4590</v>
      </c>
    </row>
    <row r="14" spans="2:10" ht="13.5" thickBot="1" x14ac:dyDescent="0.25">
      <c r="B14" s="713" t="s">
        <v>2</v>
      </c>
      <c r="C14" s="714"/>
      <c r="D14" s="715"/>
      <c r="E14" s="171">
        <v>3</v>
      </c>
      <c r="F14" s="171">
        <v>2798.5</v>
      </c>
      <c r="G14" s="171">
        <v>790</v>
      </c>
      <c r="H14" s="171">
        <v>735</v>
      </c>
      <c r="I14" s="172">
        <v>482</v>
      </c>
      <c r="J14" s="157">
        <f>SUM(I13+I14+I15+I16+I30+I32)</f>
        <v>13499</v>
      </c>
    </row>
    <row r="15" spans="2:10" ht="13.5" thickBot="1" x14ac:dyDescent="0.25">
      <c r="B15" s="713" t="s">
        <v>3</v>
      </c>
      <c r="C15" s="714"/>
      <c r="D15" s="715"/>
      <c r="E15" s="171">
        <v>4</v>
      </c>
      <c r="F15" s="171">
        <v>16205.1</v>
      </c>
      <c r="G15" s="171">
        <v>4396</v>
      </c>
      <c r="H15" s="171">
        <v>3330</v>
      </c>
      <c r="I15" s="172">
        <v>3134</v>
      </c>
    </row>
    <row r="16" spans="2:10" ht="13.5" thickBot="1" x14ac:dyDescent="0.25">
      <c r="B16" s="713" t="s">
        <v>4</v>
      </c>
      <c r="C16" s="714"/>
      <c r="D16" s="715"/>
      <c r="E16" s="171">
        <v>5</v>
      </c>
      <c r="F16" s="171">
        <v>16296.5</v>
      </c>
      <c r="G16" s="171">
        <v>1649</v>
      </c>
      <c r="H16" s="171">
        <v>1465</v>
      </c>
      <c r="I16" s="172">
        <v>1348</v>
      </c>
    </row>
    <row r="17" spans="2:9" ht="15.75" customHeight="1" thickBot="1" x14ac:dyDescent="0.25">
      <c r="B17" s="713" t="s">
        <v>5</v>
      </c>
      <c r="C17" s="714"/>
      <c r="D17" s="715"/>
      <c r="E17" s="171">
        <v>6</v>
      </c>
      <c r="F17" s="171">
        <v>682.6</v>
      </c>
      <c r="G17" s="171">
        <v>579</v>
      </c>
      <c r="H17" s="171">
        <v>498</v>
      </c>
      <c r="I17" s="172">
        <v>53</v>
      </c>
    </row>
    <row r="18" spans="2:9" ht="13.5" thickBot="1" x14ac:dyDescent="0.25">
      <c r="B18" s="713" t="s">
        <v>122</v>
      </c>
      <c r="C18" s="714"/>
      <c r="D18" s="715"/>
      <c r="E18" s="171">
        <v>7</v>
      </c>
      <c r="F18" s="171">
        <v>3.2</v>
      </c>
      <c r="G18" s="171">
        <v>7</v>
      </c>
      <c r="H18" s="171">
        <v>6</v>
      </c>
      <c r="I18" s="172">
        <v>0</v>
      </c>
    </row>
    <row r="19" spans="2:9" ht="13.5" thickBot="1" x14ac:dyDescent="0.25">
      <c r="B19" s="713" t="s">
        <v>6</v>
      </c>
      <c r="C19" s="714"/>
      <c r="D19" s="715"/>
      <c r="E19" s="171">
        <v>8</v>
      </c>
      <c r="F19" s="171">
        <v>76.2</v>
      </c>
      <c r="G19" s="171">
        <v>19</v>
      </c>
      <c r="H19" s="171">
        <v>6</v>
      </c>
      <c r="I19" s="172">
        <v>4</v>
      </c>
    </row>
    <row r="20" spans="2:9" ht="14.25" customHeight="1" thickBot="1" x14ac:dyDescent="0.25">
      <c r="B20" s="713" t="s">
        <v>7</v>
      </c>
      <c r="C20" s="714"/>
      <c r="D20" s="715"/>
      <c r="E20" s="171">
        <v>9</v>
      </c>
      <c r="F20" s="171">
        <v>0</v>
      </c>
      <c r="G20" s="171">
        <v>0</v>
      </c>
      <c r="H20" s="171">
        <v>0</v>
      </c>
      <c r="I20" s="172">
        <v>0</v>
      </c>
    </row>
    <row r="21" spans="2:9" ht="14.25" customHeight="1" thickBot="1" x14ac:dyDescent="0.25">
      <c r="B21" s="713" t="s">
        <v>8</v>
      </c>
      <c r="C21" s="714"/>
      <c r="D21" s="715"/>
      <c r="E21" s="171">
        <v>10</v>
      </c>
      <c r="F21" s="171">
        <v>0</v>
      </c>
      <c r="G21" s="171">
        <v>0</v>
      </c>
      <c r="H21" s="171">
        <v>0</v>
      </c>
      <c r="I21" s="172">
        <v>0</v>
      </c>
    </row>
    <row r="22" spans="2:9" ht="12" customHeight="1" thickBot="1" x14ac:dyDescent="0.25">
      <c r="B22" s="713" t="s">
        <v>223</v>
      </c>
      <c r="C22" s="714"/>
      <c r="D22" s="715"/>
      <c r="E22" s="171">
        <v>11</v>
      </c>
      <c r="F22" s="171">
        <v>15.9</v>
      </c>
      <c r="G22" s="171">
        <v>5</v>
      </c>
      <c r="H22" s="171">
        <v>0</v>
      </c>
      <c r="I22" s="172">
        <v>0</v>
      </c>
    </row>
    <row r="23" spans="2:9" ht="13.5" thickBot="1" x14ac:dyDescent="0.25">
      <c r="B23" s="713" t="s">
        <v>9</v>
      </c>
      <c r="C23" s="714"/>
      <c r="D23" s="715"/>
      <c r="E23" s="171">
        <v>12</v>
      </c>
      <c r="F23" s="171">
        <v>599</v>
      </c>
      <c r="G23" s="171">
        <v>171</v>
      </c>
      <c r="H23" s="171">
        <v>51</v>
      </c>
      <c r="I23" s="172">
        <v>25</v>
      </c>
    </row>
    <row r="24" spans="2:9" ht="13.5" thickBot="1" x14ac:dyDescent="0.25">
      <c r="B24" s="713" t="s">
        <v>10</v>
      </c>
      <c r="C24" s="714"/>
      <c r="D24" s="715"/>
      <c r="E24" s="171">
        <v>13</v>
      </c>
      <c r="F24" s="171">
        <v>541.79999999999995</v>
      </c>
      <c r="G24" s="171">
        <v>116</v>
      </c>
      <c r="H24" s="171">
        <v>43</v>
      </c>
      <c r="I24" s="172">
        <v>40</v>
      </c>
    </row>
    <row r="25" spans="2:9" ht="13.5" thickBot="1" x14ac:dyDescent="0.25">
      <c r="B25" s="713" t="s">
        <v>11</v>
      </c>
      <c r="C25" s="714"/>
      <c r="D25" s="715"/>
      <c r="E25" s="171">
        <v>14</v>
      </c>
      <c r="F25" s="171">
        <v>6944.5</v>
      </c>
      <c r="G25" s="171">
        <v>915</v>
      </c>
      <c r="H25" s="171">
        <v>1192</v>
      </c>
      <c r="I25" s="172">
        <v>1100</v>
      </c>
    </row>
    <row r="26" spans="2:9" ht="15.75" customHeight="1" thickBot="1" x14ac:dyDescent="0.25">
      <c r="B26" s="713" t="s">
        <v>12</v>
      </c>
      <c r="C26" s="714"/>
      <c r="D26" s="715"/>
      <c r="E26" s="171">
        <v>15</v>
      </c>
      <c r="F26" s="171">
        <v>1148.5999999999999</v>
      </c>
      <c r="G26" s="171">
        <v>192</v>
      </c>
      <c r="H26" s="171">
        <v>111</v>
      </c>
      <c r="I26" s="172">
        <v>100</v>
      </c>
    </row>
    <row r="27" spans="2:9" ht="13.5" thickBot="1" x14ac:dyDescent="0.25">
      <c r="B27" s="713" t="s">
        <v>13</v>
      </c>
      <c r="C27" s="714"/>
      <c r="D27" s="715"/>
      <c r="E27" s="171">
        <v>16</v>
      </c>
      <c r="F27" s="171">
        <v>2.6</v>
      </c>
      <c r="G27" s="171">
        <v>1</v>
      </c>
      <c r="H27" s="171">
        <v>0</v>
      </c>
      <c r="I27" s="172">
        <v>0</v>
      </c>
    </row>
    <row r="28" spans="2:9" ht="14.25" customHeight="1" thickBot="1" x14ac:dyDescent="0.25">
      <c r="B28" s="713" t="s">
        <v>14</v>
      </c>
      <c r="C28" s="714"/>
      <c r="D28" s="715"/>
      <c r="E28" s="171">
        <v>17</v>
      </c>
      <c r="F28" s="171">
        <v>12.3</v>
      </c>
      <c r="G28" s="171">
        <v>7</v>
      </c>
      <c r="H28" s="171">
        <v>4</v>
      </c>
      <c r="I28" s="172">
        <v>4</v>
      </c>
    </row>
    <row r="29" spans="2:9" ht="13.5" thickBot="1" x14ac:dyDescent="0.25">
      <c r="B29" s="713" t="s">
        <v>15</v>
      </c>
      <c r="C29" s="714"/>
      <c r="D29" s="715"/>
      <c r="E29" s="171">
        <v>18</v>
      </c>
      <c r="F29" s="171">
        <v>0</v>
      </c>
      <c r="G29" s="171">
        <v>0</v>
      </c>
      <c r="H29" s="171">
        <v>0</v>
      </c>
      <c r="I29" s="172">
        <v>0</v>
      </c>
    </row>
    <row r="30" spans="2:9" ht="13.5" customHeight="1" thickBot="1" x14ac:dyDescent="0.25">
      <c r="B30" s="713" t="s">
        <v>16</v>
      </c>
      <c r="C30" s="714"/>
      <c r="D30" s="715"/>
      <c r="E30" s="171">
        <v>19</v>
      </c>
      <c r="F30" s="171">
        <v>36183.5</v>
      </c>
      <c r="G30" s="171">
        <v>1764</v>
      </c>
      <c r="H30" s="171">
        <v>2286</v>
      </c>
      <c r="I30" s="172">
        <v>2256</v>
      </c>
    </row>
    <row r="31" spans="2:9" ht="15.75" customHeight="1" thickBot="1" x14ac:dyDescent="0.25">
      <c r="B31" s="173" t="s">
        <v>124</v>
      </c>
      <c r="C31" s="716" t="s">
        <v>125</v>
      </c>
      <c r="D31" s="715"/>
      <c r="E31" s="171">
        <v>20</v>
      </c>
      <c r="F31" s="171">
        <v>42</v>
      </c>
      <c r="G31" s="171">
        <v>2</v>
      </c>
      <c r="H31" s="171">
        <v>0</v>
      </c>
      <c r="I31" s="172">
        <v>0</v>
      </c>
    </row>
    <row r="32" spans="2:9" ht="13.5" customHeight="1" thickBot="1" x14ac:dyDescent="0.25">
      <c r="B32" s="713" t="s">
        <v>17</v>
      </c>
      <c r="C32" s="714"/>
      <c r="D32" s="715"/>
      <c r="E32" s="171">
        <v>21</v>
      </c>
      <c r="F32" s="171">
        <v>29490.400000000001</v>
      </c>
      <c r="G32" s="171">
        <v>1409</v>
      </c>
      <c r="H32" s="171">
        <v>1847</v>
      </c>
      <c r="I32" s="172">
        <v>1689</v>
      </c>
    </row>
    <row r="33" spans="2:9" ht="12.75" customHeight="1" thickBot="1" x14ac:dyDescent="0.25">
      <c r="B33" s="173" t="s">
        <v>124</v>
      </c>
      <c r="C33" s="716" t="s">
        <v>125</v>
      </c>
      <c r="D33" s="715"/>
      <c r="E33" s="171">
        <v>22</v>
      </c>
      <c r="F33" s="171">
        <v>0</v>
      </c>
      <c r="G33" s="171">
        <v>0</v>
      </c>
      <c r="H33" s="171">
        <v>0</v>
      </c>
      <c r="I33" s="172">
        <v>0</v>
      </c>
    </row>
    <row r="34" spans="2:9" ht="13.5" thickBot="1" x14ac:dyDescent="0.25">
      <c r="B34" s="713" t="s">
        <v>18</v>
      </c>
      <c r="C34" s="714"/>
      <c r="D34" s="715"/>
      <c r="E34" s="171">
        <v>23</v>
      </c>
      <c r="F34" s="171">
        <v>0</v>
      </c>
      <c r="G34" s="171">
        <v>0</v>
      </c>
      <c r="H34" s="171">
        <v>0</v>
      </c>
      <c r="I34" s="172">
        <v>0</v>
      </c>
    </row>
    <row r="35" spans="2:9" ht="15.75" customHeight="1" thickBot="1" x14ac:dyDescent="0.25">
      <c r="B35" s="713" t="s">
        <v>19</v>
      </c>
      <c r="C35" s="714"/>
      <c r="D35" s="715"/>
      <c r="E35" s="171">
        <v>24</v>
      </c>
      <c r="F35" s="171">
        <v>1.3</v>
      </c>
      <c r="G35" s="171">
        <v>0</v>
      </c>
      <c r="H35" s="171">
        <v>116</v>
      </c>
      <c r="I35" s="172">
        <v>88</v>
      </c>
    </row>
    <row r="36" spans="2:9" ht="16.5" customHeight="1" thickBot="1" x14ac:dyDescent="0.25">
      <c r="B36" s="713" t="s">
        <v>224</v>
      </c>
      <c r="C36" s="714"/>
      <c r="D36" s="715"/>
      <c r="E36" s="171">
        <v>25</v>
      </c>
      <c r="F36" s="171">
        <v>2.6</v>
      </c>
      <c r="G36" s="171">
        <v>1</v>
      </c>
      <c r="H36" s="171">
        <v>2</v>
      </c>
      <c r="I36" s="172">
        <v>1</v>
      </c>
    </row>
    <row r="37" spans="2:9" ht="15" customHeight="1" thickBot="1" x14ac:dyDescent="0.25">
      <c r="B37" s="713" t="s">
        <v>256</v>
      </c>
      <c r="C37" s="714"/>
      <c r="D37" s="715"/>
      <c r="E37" s="171">
        <v>26</v>
      </c>
      <c r="F37" s="171">
        <v>0</v>
      </c>
      <c r="G37" s="171">
        <v>0</v>
      </c>
      <c r="H37" s="171">
        <v>0</v>
      </c>
      <c r="I37" s="172">
        <v>0</v>
      </c>
    </row>
    <row r="38" spans="2:9" ht="15.75" customHeight="1" thickBot="1" x14ac:dyDescent="0.25">
      <c r="B38" s="710" t="s">
        <v>225</v>
      </c>
      <c r="C38" s="711"/>
      <c r="D38" s="712"/>
      <c r="E38" s="174">
        <v>27</v>
      </c>
      <c r="F38" s="174">
        <v>319698</v>
      </c>
      <c r="G38" s="174">
        <v>41726</v>
      </c>
      <c r="H38" s="174">
        <v>34566</v>
      </c>
      <c r="I38" s="175">
        <v>29828</v>
      </c>
    </row>
    <row r="39" spans="2:9" ht="13.5" thickBot="1" x14ac:dyDescent="0.25">
      <c r="B39" s="176" t="s">
        <v>257</v>
      </c>
      <c r="C39" s="177">
        <v>24350</v>
      </c>
    </row>
    <row r="40" spans="2:9" ht="13.5" thickBot="1" x14ac:dyDescent="0.25">
      <c r="B40" s="178" t="s">
        <v>258</v>
      </c>
      <c r="C40" s="179">
        <v>1600</v>
      </c>
    </row>
    <row r="41" spans="2:9" x14ac:dyDescent="0.2">
      <c r="B41" s="180" t="s">
        <v>260</v>
      </c>
    </row>
    <row r="42" spans="2:9" x14ac:dyDescent="0.2">
      <c r="B42" s="180" t="s">
        <v>261</v>
      </c>
    </row>
  </sheetData>
  <mergeCells count="43">
    <mergeCell ref="G3:I3"/>
    <mergeCell ref="G4:I4"/>
    <mergeCell ref="G5:I5"/>
    <mergeCell ref="G6:I6"/>
    <mergeCell ref="B2:C2"/>
    <mergeCell ref="D2:I2"/>
    <mergeCell ref="B3:C3"/>
    <mergeCell ref="B4:C4"/>
    <mergeCell ref="B5:C5"/>
    <mergeCell ref="D3:F3"/>
    <mergeCell ref="D4:F4"/>
    <mergeCell ref="D5:F5"/>
    <mergeCell ref="B19:D19"/>
    <mergeCell ref="B6:C6"/>
    <mergeCell ref="B7:E10"/>
    <mergeCell ref="B11:E11"/>
    <mergeCell ref="B12:D12"/>
    <mergeCell ref="B13:D13"/>
    <mergeCell ref="D6:F6"/>
    <mergeCell ref="B14:D14"/>
    <mergeCell ref="B15:D15"/>
    <mergeCell ref="B16:D16"/>
    <mergeCell ref="B17:D17"/>
    <mergeCell ref="B18:D18"/>
    <mergeCell ref="C31:D31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8:D38"/>
    <mergeCell ref="B32:D32"/>
    <mergeCell ref="C33:D33"/>
    <mergeCell ref="B34:D34"/>
    <mergeCell ref="B35:D35"/>
    <mergeCell ref="B36:D36"/>
    <mergeCell ref="B37:D37"/>
  </mergeCells>
  <pageMargins left="0" right="0" top="0" bottom="0" header="0" footer="0"/>
  <pageSetup paperSize="9" scale="83"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theme="5" tint="0.59999389629810485"/>
    <pageSetUpPr fitToPage="1"/>
  </sheetPr>
  <dimension ref="B1:H71"/>
  <sheetViews>
    <sheetView zoomScale="80" zoomScaleNormal="80" workbookViewId="0">
      <selection activeCell="B1" sqref="B1"/>
    </sheetView>
  </sheetViews>
  <sheetFormatPr defaultRowHeight="11.25" x14ac:dyDescent="0.2"/>
  <cols>
    <col min="1" max="1" width="2.5703125" style="67" customWidth="1"/>
    <col min="2" max="2" width="61.7109375" style="67" customWidth="1"/>
    <col min="3" max="3" width="24.42578125" style="67" customWidth="1"/>
    <col min="4" max="4" width="3.7109375" style="67" customWidth="1"/>
    <col min="5" max="5" width="12.28515625" style="67" customWidth="1"/>
    <col min="6" max="6" width="13.28515625" style="67" customWidth="1"/>
    <col min="7" max="7" width="16.28515625" style="67" customWidth="1"/>
    <col min="8" max="8" width="11.85546875" style="67" customWidth="1"/>
    <col min="9" max="16384" width="9.140625" style="67"/>
  </cols>
  <sheetData>
    <row r="1" spans="2:8" ht="12" thickBot="1" x14ac:dyDescent="0.25">
      <c r="B1" s="67" t="s">
        <v>241</v>
      </c>
    </row>
    <row r="2" spans="2:8" ht="11.25" customHeight="1" x14ac:dyDescent="0.2">
      <c r="B2" s="401"/>
      <c r="C2" s="760" t="s">
        <v>200</v>
      </c>
      <c r="D2" s="760"/>
      <c r="E2" s="760"/>
      <c r="F2" s="760"/>
      <c r="G2" s="760"/>
      <c r="H2" s="402"/>
    </row>
    <row r="3" spans="2:8" ht="11.25" customHeight="1" x14ac:dyDescent="0.2">
      <c r="B3" s="403"/>
      <c r="C3" s="761" t="s">
        <v>201</v>
      </c>
      <c r="D3" s="761"/>
      <c r="E3" s="761"/>
      <c r="F3" s="761"/>
      <c r="G3" s="761"/>
      <c r="H3" s="404"/>
    </row>
    <row r="4" spans="2:8" x14ac:dyDescent="0.2">
      <c r="B4" s="758"/>
      <c r="C4" s="759"/>
      <c r="D4" s="405"/>
      <c r="E4" s="406" t="s">
        <v>202</v>
      </c>
      <c r="F4" s="407"/>
      <c r="G4" s="407"/>
      <c r="H4" s="404"/>
    </row>
    <row r="5" spans="2:8" ht="10.5" customHeight="1" x14ac:dyDescent="0.2">
      <c r="B5" s="758"/>
      <c r="C5" s="759"/>
      <c r="D5" s="405"/>
      <c r="E5" s="763" t="s">
        <v>203</v>
      </c>
      <c r="F5" s="763"/>
      <c r="G5" s="408" t="s">
        <v>204</v>
      </c>
      <c r="H5" s="404"/>
    </row>
    <row r="6" spans="2:8" ht="11.25" customHeight="1" x14ac:dyDescent="0.2">
      <c r="B6" s="409"/>
      <c r="C6" s="410"/>
      <c r="D6" s="405"/>
      <c r="E6" s="763" t="s">
        <v>205</v>
      </c>
      <c r="F6" s="763"/>
      <c r="G6" s="408"/>
      <c r="H6" s="404"/>
    </row>
    <row r="7" spans="2:8" ht="15" customHeight="1" x14ac:dyDescent="0.2">
      <c r="B7" s="758"/>
      <c r="C7" s="759"/>
      <c r="D7" s="405"/>
      <c r="E7" s="761" t="s">
        <v>206</v>
      </c>
      <c r="F7" s="761"/>
      <c r="G7" s="408"/>
      <c r="H7" s="404"/>
    </row>
    <row r="8" spans="2:8" x14ac:dyDescent="0.2">
      <c r="B8" s="758"/>
      <c r="C8" s="759"/>
      <c r="D8" s="405"/>
      <c r="E8" s="763" t="s">
        <v>207</v>
      </c>
      <c r="F8" s="763"/>
      <c r="G8" s="408"/>
      <c r="H8" s="404"/>
    </row>
    <row r="9" spans="2:8" ht="12" thickBot="1" x14ac:dyDescent="0.25">
      <c r="B9" s="411"/>
      <c r="C9" s="412"/>
      <c r="D9" s="413"/>
      <c r="E9" s="762" t="s">
        <v>208</v>
      </c>
      <c r="F9" s="762"/>
      <c r="G9" s="412"/>
      <c r="H9" s="414"/>
    </row>
    <row r="10" spans="2:8" x14ac:dyDescent="0.2">
      <c r="B10" s="68"/>
      <c r="C10" s="71"/>
      <c r="D10" s="72"/>
      <c r="E10" s="73"/>
      <c r="F10" s="73"/>
      <c r="G10" s="74" t="s">
        <v>209</v>
      </c>
      <c r="H10" s="73"/>
    </row>
    <row r="11" spans="2:8" x14ac:dyDescent="0.2">
      <c r="B11" s="68"/>
      <c r="C11" s="71"/>
      <c r="D11" s="75"/>
      <c r="E11" s="76" t="s">
        <v>66</v>
      </c>
      <c r="F11" s="74" t="s">
        <v>210</v>
      </c>
      <c r="G11" s="74" t="s">
        <v>211</v>
      </c>
      <c r="H11" s="76" t="s">
        <v>209</v>
      </c>
    </row>
    <row r="12" spans="2:8" x14ac:dyDescent="0.2">
      <c r="B12" s="68"/>
      <c r="C12" s="71"/>
      <c r="D12" s="75"/>
      <c r="E12" s="76" t="s">
        <v>214</v>
      </c>
      <c r="F12" s="76" t="s">
        <v>212</v>
      </c>
      <c r="G12" s="76" t="s">
        <v>213</v>
      </c>
      <c r="H12" s="76" t="s">
        <v>215</v>
      </c>
    </row>
    <row r="13" spans="2:8" ht="11.25" customHeight="1" x14ac:dyDescent="0.2">
      <c r="B13" s="77" t="s">
        <v>21</v>
      </c>
      <c r="D13" s="75"/>
      <c r="E13" s="76" t="s">
        <v>218</v>
      </c>
      <c r="F13" s="76" t="s">
        <v>216</v>
      </c>
      <c r="G13" s="76" t="s">
        <v>217</v>
      </c>
      <c r="H13" s="76" t="s">
        <v>219</v>
      </c>
    </row>
    <row r="14" spans="2:8" x14ac:dyDescent="0.2">
      <c r="B14" s="68"/>
      <c r="C14" s="78"/>
      <c r="D14" s="75"/>
      <c r="E14" s="74" t="s">
        <v>221</v>
      </c>
      <c r="F14" s="76" t="s">
        <v>57</v>
      </c>
      <c r="G14" s="76" t="s">
        <v>220</v>
      </c>
      <c r="H14" s="74" t="s">
        <v>222</v>
      </c>
    </row>
    <row r="15" spans="2:8" x14ac:dyDescent="0.2">
      <c r="B15" s="68"/>
      <c r="C15" s="71"/>
      <c r="D15" s="75"/>
      <c r="E15" s="76"/>
      <c r="F15" s="74" t="s">
        <v>222</v>
      </c>
      <c r="G15" s="74" t="s">
        <v>226</v>
      </c>
      <c r="H15" s="76"/>
    </row>
    <row r="16" spans="2:8" x14ac:dyDescent="0.2">
      <c r="B16" s="68"/>
      <c r="C16" s="71"/>
      <c r="D16" s="75"/>
      <c r="E16" s="76"/>
      <c r="F16" s="76"/>
      <c r="G16" s="76"/>
      <c r="H16" s="76"/>
    </row>
    <row r="17" spans="2:8" x14ac:dyDescent="0.2">
      <c r="B17" s="68"/>
      <c r="C17" s="71"/>
      <c r="D17" s="75"/>
      <c r="E17" s="73"/>
      <c r="F17" s="76"/>
      <c r="G17" s="76"/>
      <c r="H17" s="73"/>
    </row>
    <row r="18" spans="2:8" x14ac:dyDescent="0.2">
      <c r="B18" s="68"/>
      <c r="C18" s="71"/>
      <c r="D18" s="75"/>
      <c r="E18" s="74"/>
      <c r="F18" s="74"/>
      <c r="G18" s="74"/>
      <c r="H18" s="74"/>
    </row>
    <row r="19" spans="2:8" ht="12" thickBot="1" x14ac:dyDescent="0.25">
      <c r="B19" s="69"/>
      <c r="C19" s="70"/>
      <c r="D19" s="79"/>
      <c r="E19" s="80"/>
      <c r="F19" s="80"/>
      <c r="G19" s="80"/>
      <c r="H19" s="80"/>
    </row>
    <row r="20" spans="2:8" ht="12" thickBot="1" x14ac:dyDescent="0.25">
      <c r="B20" s="81">
        <v>0</v>
      </c>
      <c r="C20" s="82"/>
      <c r="D20" s="79"/>
      <c r="E20" s="83">
        <v>1</v>
      </c>
      <c r="F20" s="83">
        <v>2</v>
      </c>
      <c r="G20" s="83">
        <v>3</v>
      </c>
      <c r="H20" s="83">
        <v>4</v>
      </c>
    </row>
    <row r="21" spans="2:8" ht="12" customHeight="1" thickBot="1" x14ac:dyDescent="0.25">
      <c r="B21" s="84" t="s">
        <v>229</v>
      </c>
      <c r="C21" s="85"/>
      <c r="D21" s="86">
        <v>1</v>
      </c>
      <c r="E21" s="87"/>
      <c r="F21" s="87"/>
      <c r="G21" s="87"/>
      <c r="H21" s="87"/>
    </row>
    <row r="22" spans="2:8" ht="12" thickBot="1" x14ac:dyDescent="0.25">
      <c r="B22" s="88" t="s">
        <v>1</v>
      </c>
      <c r="C22" s="89"/>
      <c r="D22" s="90">
        <v>2</v>
      </c>
      <c r="E22" s="91"/>
      <c r="F22" s="91"/>
      <c r="G22" s="91"/>
      <c r="H22" s="91"/>
    </row>
    <row r="23" spans="2:8" ht="12" thickBot="1" x14ac:dyDescent="0.25">
      <c r="B23" s="84" t="s">
        <v>2</v>
      </c>
      <c r="C23" s="85"/>
      <c r="D23" s="90">
        <v>3</v>
      </c>
      <c r="E23" s="91"/>
      <c r="F23" s="91"/>
      <c r="G23" s="91"/>
      <c r="H23" s="91"/>
    </row>
    <row r="24" spans="2:8" ht="12" thickBot="1" x14ac:dyDescent="0.25">
      <c r="B24" s="84" t="s">
        <v>3</v>
      </c>
      <c r="C24" s="85"/>
      <c r="D24" s="90">
        <v>4</v>
      </c>
      <c r="E24" s="91"/>
      <c r="F24" s="91"/>
      <c r="G24" s="91"/>
      <c r="H24" s="91"/>
    </row>
    <row r="25" spans="2:8" ht="12" thickBot="1" x14ac:dyDescent="0.25">
      <c r="B25" s="84" t="s">
        <v>4</v>
      </c>
      <c r="C25" s="85"/>
      <c r="D25" s="90">
        <v>5</v>
      </c>
      <c r="E25" s="91"/>
      <c r="F25" s="91"/>
      <c r="G25" s="91"/>
      <c r="H25" s="91"/>
    </row>
    <row r="26" spans="2:8" ht="13.5" customHeight="1" thickBot="1" x14ac:dyDescent="0.25">
      <c r="B26" s="84" t="s">
        <v>5</v>
      </c>
      <c r="C26" s="85"/>
      <c r="D26" s="90">
        <v>6</v>
      </c>
      <c r="E26" s="91"/>
      <c r="F26" s="91"/>
      <c r="G26" s="91"/>
      <c r="H26" s="91"/>
    </row>
    <row r="27" spans="2:8" ht="12" thickBot="1" x14ac:dyDescent="0.25">
      <c r="B27" s="84" t="s">
        <v>122</v>
      </c>
      <c r="C27" s="85"/>
      <c r="D27" s="90">
        <v>7</v>
      </c>
      <c r="E27" s="91"/>
      <c r="F27" s="91"/>
      <c r="G27" s="91"/>
      <c r="H27" s="91"/>
    </row>
    <row r="28" spans="2:8" ht="12" thickBot="1" x14ac:dyDescent="0.25">
      <c r="B28" s="84" t="s">
        <v>6</v>
      </c>
      <c r="C28" s="85"/>
      <c r="D28" s="90">
        <v>8</v>
      </c>
      <c r="E28" s="91"/>
      <c r="F28" s="91"/>
      <c r="G28" s="91"/>
      <c r="H28" s="91"/>
    </row>
    <row r="29" spans="2:8" ht="10.5" customHeight="1" thickBot="1" x14ac:dyDescent="0.25">
      <c r="B29" s="84" t="s">
        <v>7</v>
      </c>
      <c r="C29" s="85"/>
      <c r="D29" s="90">
        <v>9</v>
      </c>
      <c r="E29" s="91"/>
      <c r="F29" s="91"/>
      <c r="G29" s="91"/>
      <c r="H29" s="91"/>
    </row>
    <row r="30" spans="2:8" ht="12.75" customHeight="1" thickBot="1" x14ac:dyDescent="0.25">
      <c r="B30" s="84" t="s">
        <v>8</v>
      </c>
      <c r="C30" s="85"/>
      <c r="D30" s="90">
        <v>10</v>
      </c>
      <c r="E30" s="91"/>
      <c r="F30" s="91"/>
      <c r="G30" s="91"/>
      <c r="H30" s="91"/>
    </row>
    <row r="31" spans="2:8" ht="14.25" customHeight="1" thickBot="1" x14ac:dyDescent="0.25">
      <c r="B31" s="84" t="s">
        <v>223</v>
      </c>
      <c r="C31" s="85"/>
      <c r="D31" s="90">
        <v>11</v>
      </c>
      <c r="E31" s="91"/>
      <c r="F31" s="91"/>
      <c r="G31" s="91"/>
      <c r="H31" s="91"/>
    </row>
    <row r="32" spans="2:8" ht="12" thickBot="1" x14ac:dyDescent="0.25">
      <c r="B32" s="84" t="s">
        <v>9</v>
      </c>
      <c r="C32" s="85"/>
      <c r="D32" s="90">
        <v>12</v>
      </c>
      <c r="E32" s="91"/>
      <c r="F32" s="91"/>
      <c r="G32" s="91"/>
      <c r="H32" s="91"/>
    </row>
    <row r="33" spans="2:8" ht="12" thickBot="1" x14ac:dyDescent="0.25">
      <c r="B33" s="84" t="s">
        <v>10</v>
      </c>
      <c r="C33" s="85"/>
      <c r="D33" s="90">
        <v>13</v>
      </c>
      <c r="E33" s="91"/>
      <c r="F33" s="91"/>
      <c r="G33" s="91"/>
      <c r="H33" s="91"/>
    </row>
    <row r="34" spans="2:8" ht="12" thickBot="1" x14ac:dyDescent="0.25">
      <c r="B34" s="84" t="s">
        <v>11</v>
      </c>
      <c r="C34" s="85"/>
      <c r="D34" s="90">
        <v>14</v>
      </c>
      <c r="E34" s="91"/>
      <c r="F34" s="91"/>
      <c r="G34" s="91"/>
      <c r="H34" s="91"/>
    </row>
    <row r="35" spans="2:8" ht="13.5" customHeight="1" thickBot="1" x14ac:dyDescent="0.25">
      <c r="B35" s="84" t="s">
        <v>12</v>
      </c>
      <c r="C35" s="85"/>
      <c r="D35" s="90">
        <v>15</v>
      </c>
      <c r="E35" s="91"/>
      <c r="F35" s="91"/>
      <c r="G35" s="91"/>
      <c r="H35" s="91"/>
    </row>
    <row r="36" spans="2:8" ht="12" thickBot="1" x14ac:dyDescent="0.25">
      <c r="B36" s="84" t="s">
        <v>13</v>
      </c>
      <c r="C36" s="85"/>
      <c r="D36" s="90">
        <v>16</v>
      </c>
      <c r="E36" s="91"/>
      <c r="F36" s="91"/>
      <c r="G36" s="91"/>
      <c r="H36" s="91"/>
    </row>
    <row r="37" spans="2:8" ht="12" customHeight="1" thickBot="1" x14ac:dyDescent="0.25">
      <c r="B37" s="84" t="s">
        <v>14</v>
      </c>
      <c r="C37" s="85"/>
      <c r="D37" s="90">
        <v>17</v>
      </c>
      <c r="E37" s="91"/>
      <c r="F37" s="91"/>
      <c r="G37" s="91"/>
      <c r="H37" s="91"/>
    </row>
    <row r="38" spans="2:8" ht="12" thickBot="1" x14ac:dyDescent="0.25">
      <c r="B38" s="84" t="s">
        <v>15</v>
      </c>
      <c r="C38" s="85"/>
      <c r="D38" s="90">
        <v>18</v>
      </c>
      <c r="E38" s="91"/>
      <c r="F38" s="91"/>
      <c r="G38" s="91"/>
      <c r="H38" s="91"/>
    </row>
    <row r="39" spans="2:8" ht="12" customHeight="1" thickBot="1" x14ac:dyDescent="0.25">
      <c r="B39" s="84" t="s">
        <v>16</v>
      </c>
      <c r="C39" s="85"/>
      <c r="D39" s="90">
        <v>19</v>
      </c>
      <c r="E39" s="91"/>
      <c r="F39" s="91"/>
      <c r="G39" s="91"/>
      <c r="H39" s="91"/>
    </row>
    <row r="40" spans="2:8" ht="12.75" customHeight="1" thickBot="1" x14ac:dyDescent="0.25">
      <c r="B40" s="92" t="s">
        <v>124</v>
      </c>
      <c r="C40" s="84" t="s">
        <v>125</v>
      </c>
      <c r="D40" s="90">
        <v>20</v>
      </c>
      <c r="E40" s="91"/>
      <c r="F40" s="91"/>
      <c r="G40" s="91"/>
      <c r="H40" s="91"/>
    </row>
    <row r="41" spans="2:8" ht="13.5" customHeight="1" thickBot="1" x14ac:dyDescent="0.25">
      <c r="B41" s="84" t="s">
        <v>17</v>
      </c>
      <c r="C41" s="85"/>
      <c r="D41" s="90">
        <v>21</v>
      </c>
      <c r="E41" s="91"/>
      <c r="F41" s="91"/>
      <c r="G41" s="91"/>
      <c r="H41" s="91"/>
    </row>
    <row r="42" spans="2:8" ht="12.75" customHeight="1" thickBot="1" x14ac:dyDescent="0.25">
      <c r="B42" s="92" t="s">
        <v>124</v>
      </c>
      <c r="C42" s="84" t="s">
        <v>125</v>
      </c>
      <c r="D42" s="90">
        <v>22</v>
      </c>
      <c r="E42" s="91"/>
      <c r="F42" s="91"/>
      <c r="G42" s="91"/>
      <c r="H42" s="91"/>
    </row>
    <row r="43" spans="2:8" ht="12" thickBot="1" x14ac:dyDescent="0.25">
      <c r="B43" s="84" t="s">
        <v>18</v>
      </c>
      <c r="C43" s="85"/>
      <c r="D43" s="90">
        <v>23</v>
      </c>
      <c r="E43" s="91"/>
      <c r="F43" s="91"/>
      <c r="G43" s="91"/>
      <c r="H43" s="91"/>
    </row>
    <row r="44" spans="2:8" ht="15" customHeight="1" thickBot="1" x14ac:dyDescent="0.25">
      <c r="B44" s="84" t="s">
        <v>19</v>
      </c>
      <c r="C44" s="85"/>
      <c r="D44" s="90">
        <v>24</v>
      </c>
      <c r="E44" s="91"/>
      <c r="F44" s="91"/>
      <c r="G44" s="91"/>
      <c r="H44" s="91"/>
    </row>
    <row r="45" spans="2:8" ht="13.5" customHeight="1" thickBot="1" x14ac:dyDescent="0.25">
      <c r="B45" s="84" t="s">
        <v>224</v>
      </c>
      <c r="C45" s="85"/>
      <c r="D45" s="90">
        <v>25</v>
      </c>
      <c r="E45" s="91"/>
      <c r="F45" s="91"/>
      <c r="G45" s="91"/>
      <c r="H45" s="91"/>
    </row>
    <row r="46" spans="2:8" ht="12.75" customHeight="1" thickBot="1" x14ac:dyDescent="0.25">
      <c r="B46" s="84" t="s">
        <v>233</v>
      </c>
      <c r="C46" s="85"/>
      <c r="D46" s="86">
        <v>26</v>
      </c>
      <c r="E46" s="93"/>
      <c r="F46" s="93"/>
      <c r="G46" s="93"/>
      <c r="H46" s="93"/>
    </row>
    <row r="47" spans="2:8" ht="13.5" customHeight="1" thickBot="1" x14ac:dyDescent="0.25">
      <c r="B47" s="88" t="s">
        <v>225</v>
      </c>
      <c r="C47" s="89"/>
      <c r="D47" s="90">
        <v>27</v>
      </c>
      <c r="E47" s="91"/>
      <c r="F47" s="91"/>
      <c r="G47" s="91"/>
      <c r="H47" s="91"/>
    </row>
    <row r="48" spans="2:8" x14ac:dyDescent="0.2">
      <c r="B48" s="94" t="s">
        <v>227</v>
      </c>
      <c r="E48" s="95"/>
    </row>
    <row r="49" spans="2:3" x14ac:dyDescent="0.2">
      <c r="B49" s="94" t="s">
        <v>228</v>
      </c>
    </row>
    <row r="51" spans="2:3" x14ac:dyDescent="0.2">
      <c r="B51" s="96"/>
    </row>
    <row r="52" spans="2:3" x14ac:dyDescent="0.2">
      <c r="B52" s="97"/>
      <c r="C52" s="97"/>
    </row>
    <row r="53" spans="2:3" x14ac:dyDescent="0.2">
      <c r="B53" s="96"/>
    </row>
    <row r="54" spans="2:3" x14ac:dyDescent="0.2">
      <c r="B54" s="97"/>
      <c r="C54" s="97"/>
    </row>
    <row r="55" spans="2:3" x14ac:dyDescent="0.2">
      <c r="B55" s="96"/>
    </row>
    <row r="56" spans="2:3" x14ac:dyDescent="0.2">
      <c r="B56" s="96"/>
    </row>
    <row r="57" spans="2:3" x14ac:dyDescent="0.2">
      <c r="B57" s="96"/>
    </row>
    <row r="58" spans="2:3" x14ac:dyDescent="0.2">
      <c r="B58" s="98"/>
    </row>
    <row r="59" spans="2:3" x14ac:dyDescent="0.2">
      <c r="B59" s="96"/>
    </row>
    <row r="60" spans="2:3" x14ac:dyDescent="0.2">
      <c r="B60" s="99"/>
    </row>
    <row r="61" spans="2:3" x14ac:dyDescent="0.2">
      <c r="B61" s="96"/>
    </row>
    <row r="62" spans="2:3" x14ac:dyDescent="0.2">
      <c r="B62" s="100"/>
      <c r="C62" s="100"/>
    </row>
    <row r="63" spans="2:3" x14ac:dyDescent="0.2">
      <c r="B63" s="96"/>
    </row>
    <row r="64" spans="2:3" x14ac:dyDescent="0.2">
      <c r="B64" s="100"/>
    </row>
    <row r="66" spans="2:3" x14ac:dyDescent="0.2">
      <c r="B66" s="96"/>
    </row>
    <row r="67" spans="2:3" x14ac:dyDescent="0.2">
      <c r="B67" s="96"/>
    </row>
    <row r="68" spans="2:3" x14ac:dyDescent="0.2">
      <c r="B68" s="96"/>
    </row>
    <row r="69" spans="2:3" x14ac:dyDescent="0.2">
      <c r="B69" s="96"/>
    </row>
    <row r="70" spans="2:3" x14ac:dyDescent="0.2">
      <c r="B70" s="96"/>
    </row>
    <row r="71" spans="2:3" x14ac:dyDescent="0.2">
      <c r="B71" s="97"/>
      <c r="C71" s="97"/>
    </row>
  </sheetData>
  <mergeCells count="11">
    <mergeCell ref="B4:C4"/>
    <mergeCell ref="C2:G2"/>
    <mergeCell ref="C3:G3"/>
    <mergeCell ref="E9:F9"/>
    <mergeCell ref="B5:C5"/>
    <mergeCell ref="B7:C7"/>
    <mergeCell ref="B8:C8"/>
    <mergeCell ref="E5:F5"/>
    <mergeCell ref="E6:F6"/>
    <mergeCell ref="E7:F7"/>
    <mergeCell ref="E8:F8"/>
  </mergeCells>
  <pageMargins left="0.7" right="0.7" top="0.75" bottom="0.75" header="0.3" footer="0.3"/>
  <pageSetup paperSize="9" scale="59" orientation="landscape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Arkusz51">
    <tabColor theme="5" tint="0.59999389629810485"/>
    <pageSetUpPr fitToPage="1"/>
  </sheetPr>
  <dimension ref="B1:I45"/>
  <sheetViews>
    <sheetView zoomScale="70" zoomScaleNormal="70" workbookViewId="0">
      <selection activeCell="B1" sqref="B1"/>
    </sheetView>
  </sheetViews>
  <sheetFormatPr defaultRowHeight="15" x14ac:dyDescent="0.25"/>
  <cols>
    <col min="1" max="1" width="2.140625" style="8" customWidth="1"/>
    <col min="2" max="2" width="6.85546875" style="8" customWidth="1"/>
    <col min="3" max="3" width="28.5703125" style="8" customWidth="1"/>
    <col min="4" max="4" width="4.85546875" style="8" customWidth="1"/>
    <col min="5" max="5" width="14.140625" style="8" customWidth="1"/>
    <col min="6" max="6" width="10.140625" style="8" customWidth="1"/>
    <col min="7" max="7" width="15.85546875" style="8" customWidth="1"/>
    <col min="8" max="8" width="15" style="8" customWidth="1"/>
    <col min="9" max="9" width="12" style="8" customWidth="1"/>
    <col min="10" max="16384" width="9.140625" style="8"/>
  </cols>
  <sheetData>
    <row r="1" spans="2:9" x14ac:dyDescent="0.25">
      <c r="B1" s="8" t="s">
        <v>240</v>
      </c>
    </row>
    <row r="2" spans="2:9" x14ac:dyDescent="0.25">
      <c r="B2" s="773" t="s">
        <v>113</v>
      </c>
      <c r="C2" s="773"/>
      <c r="D2" s="773"/>
      <c r="E2" s="773"/>
      <c r="F2" s="773"/>
      <c r="G2" s="773"/>
      <c r="H2" s="773"/>
      <c r="I2" s="773"/>
    </row>
    <row r="3" spans="2:9" ht="24.75" customHeight="1" x14ac:dyDescent="0.25">
      <c r="B3" s="773"/>
      <c r="C3" s="773"/>
      <c r="D3" s="773"/>
      <c r="E3" s="773"/>
      <c r="F3" s="773"/>
      <c r="G3" s="773"/>
      <c r="H3" s="773"/>
      <c r="I3" s="773"/>
    </row>
    <row r="4" spans="2:9" ht="12.75" customHeight="1" x14ac:dyDescent="0.25">
      <c r="B4" s="774" t="s">
        <v>114</v>
      </c>
      <c r="C4" s="774"/>
      <c r="D4" s="775" t="s">
        <v>115</v>
      </c>
      <c r="E4" s="775"/>
      <c r="F4" s="775"/>
      <c r="G4" s="776" t="s">
        <v>116</v>
      </c>
      <c r="H4" s="776"/>
      <c r="I4" s="776"/>
    </row>
    <row r="5" spans="2:9" x14ac:dyDescent="0.25">
      <c r="B5" s="774"/>
      <c r="C5" s="774"/>
      <c r="D5" s="775"/>
      <c r="E5" s="775"/>
      <c r="F5" s="775"/>
      <c r="G5" s="776"/>
      <c r="H5" s="776"/>
      <c r="I5" s="776"/>
    </row>
    <row r="6" spans="2:9" x14ac:dyDescent="0.25">
      <c r="B6" s="774"/>
      <c r="C6" s="774"/>
      <c r="D6" s="775"/>
      <c r="E6" s="775"/>
      <c r="F6" s="775"/>
      <c r="G6" s="776"/>
      <c r="H6" s="776"/>
      <c r="I6" s="776"/>
    </row>
    <row r="7" spans="2:9" x14ac:dyDescent="0.25">
      <c r="B7" s="774"/>
      <c r="C7" s="774"/>
      <c r="D7" s="775"/>
      <c r="E7" s="775"/>
      <c r="F7" s="775"/>
      <c r="G7" s="776"/>
      <c r="H7" s="776"/>
      <c r="I7" s="776"/>
    </row>
    <row r="8" spans="2:9" ht="60" customHeight="1" x14ac:dyDescent="0.25">
      <c r="B8" s="774"/>
      <c r="C8" s="774"/>
      <c r="D8" s="775"/>
      <c r="E8" s="775"/>
      <c r="F8" s="775"/>
      <c r="G8" s="776"/>
      <c r="H8" s="776"/>
      <c r="I8" s="776"/>
    </row>
    <row r="9" spans="2:9" x14ac:dyDescent="0.25">
      <c r="B9" s="101"/>
      <c r="C9" s="101"/>
      <c r="D9" s="101"/>
      <c r="E9" s="101"/>
      <c r="F9" s="101"/>
      <c r="G9" s="101"/>
      <c r="H9" s="101"/>
      <c r="I9" s="101"/>
    </row>
    <row r="10" spans="2:9" x14ac:dyDescent="0.25">
      <c r="B10" s="102"/>
      <c r="C10" s="102"/>
      <c r="D10" s="102"/>
      <c r="E10" s="102"/>
      <c r="F10" s="102"/>
      <c r="G10" s="102"/>
      <c r="H10" s="102"/>
      <c r="I10" s="102"/>
    </row>
    <row r="11" spans="2:9" ht="78" x14ac:dyDescent="0.25">
      <c r="B11" s="772" t="s">
        <v>21</v>
      </c>
      <c r="C11" s="772"/>
      <c r="D11" s="772"/>
      <c r="E11" s="769" t="s">
        <v>117</v>
      </c>
      <c r="F11" s="770"/>
      <c r="G11" s="103" t="s">
        <v>118</v>
      </c>
      <c r="H11" s="103" t="s">
        <v>119</v>
      </c>
      <c r="I11" s="103" t="s">
        <v>120</v>
      </c>
    </row>
    <row r="12" spans="2:9" x14ac:dyDescent="0.25">
      <c r="B12" s="772">
        <v>0</v>
      </c>
      <c r="C12" s="772"/>
      <c r="D12" s="772"/>
      <c r="E12" s="769">
        <v>1</v>
      </c>
      <c r="F12" s="770"/>
      <c r="G12" s="103">
        <v>2</v>
      </c>
      <c r="H12" s="103">
        <v>3</v>
      </c>
      <c r="I12" s="103">
        <v>4</v>
      </c>
    </row>
    <row r="13" spans="2:9" x14ac:dyDescent="0.25">
      <c r="B13" s="661" t="s">
        <v>0</v>
      </c>
      <c r="C13" s="662"/>
      <c r="D13" s="11" t="s">
        <v>27</v>
      </c>
      <c r="E13" s="769"/>
      <c r="F13" s="770"/>
      <c r="G13" s="103"/>
      <c r="H13" s="103"/>
      <c r="I13" s="103"/>
    </row>
    <row r="14" spans="2:9" x14ac:dyDescent="0.25">
      <c r="B14" s="661" t="s">
        <v>121</v>
      </c>
      <c r="C14" s="662"/>
      <c r="D14" s="11" t="s">
        <v>28</v>
      </c>
      <c r="E14" s="769"/>
      <c r="F14" s="770"/>
      <c r="G14" s="104"/>
      <c r="H14" s="104"/>
      <c r="I14" s="103"/>
    </row>
    <row r="15" spans="2:9" x14ac:dyDescent="0.25">
      <c r="B15" s="659" t="s">
        <v>2</v>
      </c>
      <c r="C15" s="654"/>
      <c r="D15" s="11" t="s">
        <v>29</v>
      </c>
      <c r="E15" s="769"/>
      <c r="F15" s="770"/>
      <c r="G15" s="104"/>
      <c r="H15" s="104"/>
      <c r="I15" s="103"/>
    </row>
    <row r="16" spans="2:9" x14ac:dyDescent="0.25">
      <c r="B16" s="654" t="s">
        <v>3</v>
      </c>
      <c r="C16" s="654"/>
      <c r="D16" s="11" t="s">
        <v>30</v>
      </c>
      <c r="E16" s="769"/>
      <c r="F16" s="770"/>
      <c r="G16" s="104"/>
      <c r="H16" s="104"/>
      <c r="I16" s="103"/>
    </row>
    <row r="17" spans="2:9" x14ac:dyDescent="0.25">
      <c r="B17" s="664" t="s">
        <v>4</v>
      </c>
      <c r="C17" s="664"/>
      <c r="D17" s="11" t="s">
        <v>31</v>
      </c>
      <c r="E17" s="769"/>
      <c r="F17" s="770"/>
      <c r="G17" s="104"/>
      <c r="H17" s="104"/>
      <c r="I17" s="103"/>
    </row>
    <row r="18" spans="2:9" x14ac:dyDescent="0.25">
      <c r="B18" s="661" t="s">
        <v>5</v>
      </c>
      <c r="C18" s="662"/>
      <c r="D18" s="11" t="s">
        <v>32</v>
      </c>
      <c r="E18" s="769"/>
      <c r="F18" s="770"/>
      <c r="G18" s="104"/>
      <c r="H18" s="104"/>
      <c r="I18" s="103"/>
    </row>
    <row r="19" spans="2:9" x14ac:dyDescent="0.25">
      <c r="B19" s="663" t="s">
        <v>122</v>
      </c>
      <c r="C19" s="663"/>
      <c r="D19" s="11" t="s">
        <v>33</v>
      </c>
      <c r="E19" s="769"/>
      <c r="F19" s="770"/>
      <c r="G19" s="104"/>
      <c r="H19" s="104"/>
      <c r="I19" s="103"/>
    </row>
    <row r="20" spans="2:9" x14ac:dyDescent="0.25">
      <c r="B20" s="662" t="s">
        <v>6</v>
      </c>
      <c r="C20" s="662"/>
      <c r="D20" s="11" t="s">
        <v>34</v>
      </c>
      <c r="E20" s="769"/>
      <c r="F20" s="770"/>
      <c r="G20" s="104"/>
      <c r="H20" s="104"/>
      <c r="I20" s="103"/>
    </row>
    <row r="21" spans="2:9" x14ac:dyDescent="0.25">
      <c r="B21" s="662" t="s">
        <v>7</v>
      </c>
      <c r="C21" s="662"/>
      <c r="D21" s="11" t="s">
        <v>35</v>
      </c>
      <c r="E21" s="769"/>
      <c r="F21" s="770"/>
      <c r="G21" s="104"/>
      <c r="H21" s="104"/>
      <c r="I21" s="103"/>
    </row>
    <row r="22" spans="2:9" x14ac:dyDescent="0.25">
      <c r="B22" s="654" t="s">
        <v>8</v>
      </c>
      <c r="C22" s="654"/>
      <c r="D22" s="11" t="s">
        <v>36</v>
      </c>
      <c r="E22" s="769"/>
      <c r="F22" s="770"/>
      <c r="G22" s="104"/>
      <c r="H22" s="104"/>
      <c r="I22" s="103"/>
    </row>
    <row r="23" spans="2:9" x14ac:dyDescent="0.25">
      <c r="B23" s="664" t="s">
        <v>123</v>
      </c>
      <c r="C23" s="664"/>
      <c r="D23" s="11" t="s">
        <v>37</v>
      </c>
      <c r="E23" s="769"/>
      <c r="F23" s="770"/>
      <c r="G23" s="104"/>
      <c r="H23" s="104"/>
      <c r="I23" s="103"/>
    </row>
    <row r="24" spans="2:9" x14ac:dyDescent="0.25">
      <c r="B24" s="661" t="s">
        <v>9</v>
      </c>
      <c r="C24" s="662"/>
      <c r="D24" s="11" t="s">
        <v>26</v>
      </c>
      <c r="E24" s="769"/>
      <c r="F24" s="770"/>
      <c r="G24" s="104"/>
      <c r="H24" s="104"/>
      <c r="I24" s="103"/>
    </row>
    <row r="25" spans="2:9" x14ac:dyDescent="0.25">
      <c r="B25" s="654" t="s">
        <v>10</v>
      </c>
      <c r="C25" s="654"/>
      <c r="D25" s="11" t="s">
        <v>38</v>
      </c>
      <c r="E25" s="769"/>
      <c r="F25" s="770"/>
      <c r="G25" s="104"/>
      <c r="H25" s="104"/>
      <c r="I25" s="103"/>
    </row>
    <row r="26" spans="2:9" x14ac:dyDescent="0.25">
      <c r="B26" s="654" t="s">
        <v>11</v>
      </c>
      <c r="C26" s="654"/>
      <c r="D26" s="11" t="s">
        <v>39</v>
      </c>
      <c r="E26" s="769"/>
      <c r="F26" s="770"/>
      <c r="G26" s="104"/>
      <c r="H26" s="104"/>
      <c r="I26" s="103"/>
    </row>
    <row r="27" spans="2:9" x14ac:dyDescent="0.25">
      <c r="B27" s="653" t="s">
        <v>12</v>
      </c>
      <c r="C27" s="653"/>
      <c r="D27" s="11" t="s">
        <v>40</v>
      </c>
      <c r="E27" s="769"/>
      <c r="F27" s="770"/>
      <c r="G27" s="104"/>
      <c r="H27" s="104"/>
      <c r="I27" s="103"/>
    </row>
    <row r="28" spans="2:9" x14ac:dyDescent="0.25">
      <c r="B28" s="654" t="s">
        <v>13</v>
      </c>
      <c r="C28" s="654"/>
      <c r="D28" s="11" t="s">
        <v>41</v>
      </c>
      <c r="E28" s="769"/>
      <c r="F28" s="770"/>
      <c r="G28" s="104"/>
      <c r="H28" s="104"/>
      <c r="I28" s="103"/>
    </row>
    <row r="29" spans="2:9" x14ac:dyDescent="0.25">
      <c r="B29" s="653" t="s">
        <v>14</v>
      </c>
      <c r="C29" s="653"/>
      <c r="D29" s="11" t="s">
        <v>42</v>
      </c>
      <c r="E29" s="769"/>
      <c r="F29" s="770"/>
      <c r="G29" s="104"/>
      <c r="H29" s="104"/>
      <c r="I29" s="103"/>
    </row>
    <row r="30" spans="2:9" x14ac:dyDescent="0.25">
      <c r="B30" s="654" t="s">
        <v>15</v>
      </c>
      <c r="C30" s="654"/>
      <c r="D30" s="11" t="s">
        <v>43</v>
      </c>
      <c r="E30" s="769"/>
      <c r="F30" s="770"/>
      <c r="G30" s="104"/>
      <c r="H30" s="104"/>
      <c r="I30" s="103"/>
    </row>
    <row r="31" spans="2:9" x14ac:dyDescent="0.25">
      <c r="B31" s="662" t="s">
        <v>16</v>
      </c>
      <c r="C31" s="662"/>
      <c r="D31" s="11" t="s">
        <v>44</v>
      </c>
      <c r="E31" s="769"/>
      <c r="F31" s="770"/>
      <c r="G31" s="104"/>
      <c r="H31" s="104"/>
      <c r="I31" s="103"/>
    </row>
    <row r="32" spans="2:9" x14ac:dyDescent="0.25">
      <c r="B32" s="12" t="s">
        <v>124</v>
      </c>
      <c r="C32" s="66" t="s">
        <v>125</v>
      </c>
      <c r="D32" s="11" t="s">
        <v>45</v>
      </c>
      <c r="E32" s="769"/>
      <c r="F32" s="770"/>
      <c r="G32" s="104"/>
      <c r="H32" s="104"/>
      <c r="I32" s="103"/>
    </row>
    <row r="33" spans="2:9" x14ac:dyDescent="0.25">
      <c r="B33" s="661" t="s">
        <v>17</v>
      </c>
      <c r="C33" s="662"/>
      <c r="D33" s="11" t="s">
        <v>46</v>
      </c>
      <c r="E33" s="769"/>
      <c r="F33" s="770"/>
      <c r="G33" s="104"/>
      <c r="H33" s="104"/>
      <c r="I33" s="103"/>
    </row>
    <row r="34" spans="2:9" x14ac:dyDescent="0.25">
      <c r="B34" s="661" t="s">
        <v>18</v>
      </c>
      <c r="C34" s="662"/>
      <c r="D34" s="11" t="s">
        <v>47</v>
      </c>
      <c r="E34" s="769"/>
      <c r="F34" s="770"/>
      <c r="G34" s="104"/>
      <c r="H34" s="104"/>
      <c r="I34" s="103"/>
    </row>
    <row r="35" spans="2:9" x14ac:dyDescent="0.25">
      <c r="B35" s="657" t="s">
        <v>19</v>
      </c>
      <c r="C35" s="658"/>
      <c r="D35" s="11" t="s">
        <v>48</v>
      </c>
      <c r="E35" s="105"/>
      <c r="F35" s="106"/>
      <c r="G35" s="104"/>
      <c r="H35" s="104"/>
      <c r="I35" s="103"/>
    </row>
    <row r="36" spans="2:9" x14ac:dyDescent="0.25">
      <c r="B36" s="659" t="s">
        <v>20</v>
      </c>
      <c r="C36" s="654"/>
      <c r="D36" s="11">
        <v>24</v>
      </c>
      <c r="E36" s="769"/>
      <c r="F36" s="770"/>
      <c r="G36" s="104"/>
      <c r="H36" s="104"/>
      <c r="I36" s="103"/>
    </row>
    <row r="37" spans="2:9" x14ac:dyDescent="0.25">
      <c r="B37" s="771" t="s">
        <v>126</v>
      </c>
      <c r="C37" s="771"/>
      <c r="D37" s="771"/>
      <c r="E37" s="771"/>
      <c r="F37" s="771"/>
      <c r="G37" s="771"/>
      <c r="H37" s="771"/>
      <c r="I37" s="771"/>
    </row>
    <row r="38" spans="2:9" x14ac:dyDescent="0.25">
      <c r="B38" s="764" t="s">
        <v>127</v>
      </c>
      <c r="C38" s="764"/>
      <c r="D38" s="764"/>
      <c r="E38" s="764"/>
      <c r="F38" s="764"/>
      <c r="G38" s="764"/>
      <c r="H38" s="764"/>
      <c r="I38" s="764"/>
    </row>
    <row r="40" spans="2:9" s="111" customFormat="1" x14ac:dyDescent="0.25">
      <c r="B40" s="107" t="s">
        <v>128</v>
      </c>
      <c r="C40" s="108"/>
      <c r="D40" s="108"/>
      <c r="E40" s="108"/>
      <c r="F40" s="109"/>
      <c r="G40" s="110"/>
      <c r="H40" s="110"/>
    </row>
    <row r="41" spans="2:9" s="111" customFormat="1" x14ac:dyDescent="0.25">
      <c r="B41" s="765" t="s">
        <v>129</v>
      </c>
      <c r="C41" s="766"/>
      <c r="D41" s="766"/>
      <c r="E41" s="767"/>
      <c r="F41" s="112"/>
      <c r="G41" s="110"/>
      <c r="H41" s="110"/>
    </row>
    <row r="42" spans="2:9" s="111" customFormat="1" x14ac:dyDescent="0.25">
      <c r="F42" s="768"/>
      <c r="G42" s="768"/>
    </row>
    <row r="43" spans="2:9" s="111" customFormat="1" x14ac:dyDescent="0.25">
      <c r="C43" s="113" t="s">
        <v>130</v>
      </c>
      <c r="D43" s="114"/>
      <c r="F43" s="115"/>
      <c r="G43" s="116" t="s">
        <v>131</v>
      </c>
    </row>
    <row r="44" spans="2:9" s="111" customFormat="1" x14ac:dyDescent="0.25">
      <c r="C44" s="113" t="s">
        <v>132</v>
      </c>
      <c r="D44" s="114"/>
      <c r="F44" s="115"/>
      <c r="G44" s="113" t="s">
        <v>133</v>
      </c>
    </row>
    <row r="45" spans="2:9" s="111" customFormat="1" x14ac:dyDescent="0.25">
      <c r="C45" s="113" t="s">
        <v>134</v>
      </c>
      <c r="D45" s="114"/>
      <c r="F45" s="115"/>
    </row>
  </sheetData>
  <mergeCells count="58">
    <mergeCell ref="B2:I3"/>
    <mergeCell ref="B4:C8"/>
    <mergeCell ref="D4:F8"/>
    <mergeCell ref="G4:I8"/>
    <mergeCell ref="B11:D11"/>
    <mergeCell ref="E11:F11"/>
    <mergeCell ref="B12:D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33:C33"/>
    <mergeCell ref="E33:F33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E32:F32"/>
    <mergeCell ref="B38:I38"/>
    <mergeCell ref="B41:E41"/>
    <mergeCell ref="F42:G42"/>
    <mergeCell ref="B34:C34"/>
    <mergeCell ref="E34:F34"/>
    <mergeCell ref="B35:C35"/>
    <mergeCell ref="B36:C36"/>
    <mergeCell ref="E36:F36"/>
    <mergeCell ref="B37:I37"/>
  </mergeCells>
  <pageMargins left="0.7" right="0.7" top="0.75" bottom="0.75" header="0.3" footer="0.3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B1:K35"/>
  <sheetViews>
    <sheetView zoomScale="90" zoomScaleNormal="90" workbookViewId="0">
      <selection activeCell="B1" sqref="B1"/>
    </sheetView>
  </sheetViews>
  <sheetFormatPr defaultRowHeight="14.25" x14ac:dyDescent="0.2"/>
  <cols>
    <col min="1" max="1" width="2" style="117" customWidth="1"/>
    <col min="2" max="2" width="6.140625" style="117" customWidth="1"/>
    <col min="3" max="3" width="63.7109375" style="117" customWidth="1"/>
    <col min="4" max="4" width="11" style="117" customWidth="1"/>
    <col min="5" max="5" width="9.5703125" style="117" customWidth="1"/>
    <col min="6" max="6" width="10.140625" style="117" customWidth="1"/>
    <col min="7" max="7" width="15.28515625" style="117" customWidth="1"/>
    <col min="8" max="8" width="15" style="117" customWidth="1"/>
    <col min="9" max="9" width="11.85546875" style="117" customWidth="1"/>
    <col min="10" max="10" width="14.85546875" style="117" customWidth="1"/>
    <col min="11" max="11" width="12.28515625" style="117" customWidth="1"/>
    <col min="12" max="12" width="4" style="117" customWidth="1"/>
    <col min="13" max="16384" width="9.140625" style="117"/>
  </cols>
  <sheetData>
    <row r="1" spans="2:11" ht="15.75" thickBot="1" x14ac:dyDescent="0.25">
      <c r="B1" s="230" t="s">
        <v>282</v>
      </c>
      <c r="E1" s="147"/>
      <c r="G1" s="416" t="s">
        <v>269</v>
      </c>
      <c r="H1" s="572" t="s">
        <v>266</v>
      </c>
      <c r="I1" s="118"/>
      <c r="J1" s="118"/>
    </row>
    <row r="2" spans="2:11" x14ac:dyDescent="0.2">
      <c r="B2" s="315"/>
      <c r="C2" s="610" t="s">
        <v>323</v>
      </c>
      <c r="D2" s="316"/>
      <c r="E2" s="317"/>
      <c r="F2" s="318"/>
      <c r="G2" s="316"/>
      <c r="H2" s="318"/>
      <c r="I2" s="316"/>
      <c r="J2" s="316"/>
      <c r="K2" s="319"/>
    </row>
    <row r="3" spans="2:11" ht="66" customHeight="1" x14ac:dyDescent="0.2">
      <c r="B3" s="320"/>
      <c r="C3" s="611"/>
      <c r="D3" s="321" t="s">
        <v>108</v>
      </c>
      <c r="E3" s="322" t="s">
        <v>109</v>
      </c>
      <c r="F3" s="323" t="s">
        <v>110</v>
      </c>
      <c r="G3" s="324" t="s">
        <v>111</v>
      </c>
      <c r="H3" s="323" t="s">
        <v>270</v>
      </c>
      <c r="I3" s="321" t="s">
        <v>167</v>
      </c>
      <c r="J3" s="325" t="s">
        <v>164</v>
      </c>
      <c r="K3" s="326" t="s">
        <v>112</v>
      </c>
    </row>
    <row r="4" spans="2:11" x14ac:dyDescent="0.2">
      <c r="B4" s="327" t="s">
        <v>106</v>
      </c>
      <c r="C4" s="611"/>
      <c r="D4" s="321"/>
      <c r="E4" s="322"/>
      <c r="F4" s="323"/>
      <c r="G4" s="321"/>
      <c r="H4" s="323"/>
      <c r="I4" s="321"/>
      <c r="J4" s="328"/>
      <c r="K4" s="326"/>
    </row>
    <row r="5" spans="2:11" ht="15" thickBot="1" x14ac:dyDescent="0.25">
      <c r="B5" s="329"/>
      <c r="C5" s="612"/>
      <c r="D5" s="330"/>
      <c r="E5" s="331"/>
      <c r="F5" s="332"/>
      <c r="G5" s="330"/>
      <c r="H5" s="332"/>
      <c r="I5" s="330"/>
      <c r="J5" s="330"/>
      <c r="K5" s="333"/>
    </row>
    <row r="6" spans="2:11" x14ac:dyDescent="0.2">
      <c r="B6" s="131">
        <v>1</v>
      </c>
      <c r="C6" s="132" t="s">
        <v>2</v>
      </c>
      <c r="D6" s="133">
        <f>SUM('z15'!F6)</f>
        <v>4526</v>
      </c>
      <c r="E6" s="134">
        <f>SUM('z15'!G6)</f>
        <v>4298</v>
      </c>
      <c r="F6" s="135">
        <f>SUM('z15'!H6)</f>
        <v>1780</v>
      </c>
      <c r="G6" s="136">
        <f>SUM(F6/E6)*100</f>
        <v>41.414611447184733</v>
      </c>
      <c r="H6" s="137">
        <f>SUM(J6/F6)</f>
        <v>6747.0224719101107</v>
      </c>
      <c r="I6" s="136">
        <f>SUM('z15'!E6)</f>
        <v>12009.699999999997</v>
      </c>
      <c r="J6" s="133">
        <f>SUM(I6*1000)</f>
        <v>12009699.999999996</v>
      </c>
      <c r="K6" s="138">
        <f>SUM(J6/D6)</f>
        <v>2653.4909412284569</v>
      </c>
    </row>
    <row r="7" spans="2:11" x14ac:dyDescent="0.2">
      <c r="B7" s="119">
        <v>2</v>
      </c>
      <c r="C7" s="120" t="s">
        <v>1</v>
      </c>
      <c r="D7" s="121">
        <f>SUM('z15'!F5)</f>
        <v>18425</v>
      </c>
      <c r="E7" s="122">
        <f>SUM('z15'!G5)</f>
        <v>12626</v>
      </c>
      <c r="F7" s="123">
        <f>SUM('z15'!H5)</f>
        <v>9873</v>
      </c>
      <c r="G7" s="124">
        <f t="shared" ref="G7:G13" si="0">SUM(F7/E7)*100</f>
        <v>78.195786472358634</v>
      </c>
      <c r="H7" s="125">
        <f t="shared" ref="H7:H11" si="1">SUM(J7/F7)</f>
        <v>10493.193558189001</v>
      </c>
      <c r="I7" s="124">
        <f>SUM('z15'!E5)</f>
        <v>103599.30000000002</v>
      </c>
      <c r="J7" s="121">
        <f t="shared" ref="J7:J11" si="2">SUM(I7*1000)</f>
        <v>103599300.00000001</v>
      </c>
      <c r="K7" s="126">
        <f>SUM(J7/D7)</f>
        <v>5622.7571234735424</v>
      </c>
    </row>
    <row r="8" spans="2:11" x14ac:dyDescent="0.2">
      <c r="B8" s="119">
        <v>3</v>
      </c>
      <c r="C8" s="120" t="s">
        <v>3</v>
      </c>
      <c r="D8" s="121">
        <f>SUM('z15'!F7)</f>
        <v>5321</v>
      </c>
      <c r="E8" s="122">
        <f>SUM('z15'!G7)</f>
        <v>2570</v>
      </c>
      <c r="F8" s="123">
        <f>SUM('z15'!H7)</f>
        <v>2264</v>
      </c>
      <c r="G8" s="124">
        <f t="shared" si="0"/>
        <v>88.093385214007782</v>
      </c>
      <c r="H8" s="125">
        <f t="shared" si="1"/>
        <v>10343.286219081272</v>
      </c>
      <c r="I8" s="124">
        <f>SUM('z15'!E7)</f>
        <v>23417.200000000001</v>
      </c>
      <c r="J8" s="121">
        <f t="shared" si="2"/>
        <v>23417200</v>
      </c>
      <c r="K8" s="126">
        <f>SUM(J8/D8)</f>
        <v>4400.9020860740466</v>
      </c>
    </row>
    <row r="9" spans="2:11" x14ac:dyDescent="0.2">
      <c r="B9" s="119">
        <v>4</v>
      </c>
      <c r="C9" s="120" t="s">
        <v>4</v>
      </c>
      <c r="D9" s="121">
        <f>SUM('z15'!F8)</f>
        <v>2335</v>
      </c>
      <c r="E9" s="122">
        <f>SUM('z15'!G8)</f>
        <v>2030</v>
      </c>
      <c r="F9" s="123">
        <f>SUM('z15'!H8)</f>
        <v>1606</v>
      </c>
      <c r="G9" s="124">
        <f t="shared" si="0"/>
        <v>79.113300492610833</v>
      </c>
      <c r="H9" s="125">
        <f t="shared" si="1"/>
        <v>12558.841843088418</v>
      </c>
      <c r="I9" s="124">
        <f>SUM('z15'!E8)</f>
        <v>20169.5</v>
      </c>
      <c r="J9" s="121">
        <f t="shared" si="2"/>
        <v>20169500</v>
      </c>
      <c r="K9" s="126">
        <f t="shared" ref="K9:K11" si="3">SUM(J9/D9)</f>
        <v>8637.9014989293355</v>
      </c>
    </row>
    <row r="10" spans="2:11" x14ac:dyDescent="0.2">
      <c r="B10" s="119">
        <v>5</v>
      </c>
      <c r="C10" s="120" t="s">
        <v>58</v>
      </c>
      <c r="D10" s="121">
        <f>SUM('z15'!F22)</f>
        <v>2864</v>
      </c>
      <c r="E10" s="122">
        <f>SUM('z15'!G22)</f>
        <v>3016</v>
      </c>
      <c r="F10" s="123">
        <f>SUM('z15'!H22)</f>
        <v>2721</v>
      </c>
      <c r="G10" s="124">
        <f t="shared" si="0"/>
        <v>90.218832891246677</v>
      </c>
      <c r="H10" s="125">
        <f t="shared" si="1"/>
        <v>21102.793090775453</v>
      </c>
      <c r="I10" s="124">
        <f>SUM('z15'!E22)</f>
        <v>57420.700000000004</v>
      </c>
      <c r="J10" s="121">
        <f t="shared" si="2"/>
        <v>57420700.000000007</v>
      </c>
      <c r="K10" s="126">
        <f t="shared" si="3"/>
        <v>20049.127094972071</v>
      </c>
    </row>
    <row r="11" spans="2:11" ht="15" customHeight="1" x14ac:dyDescent="0.2">
      <c r="B11" s="139">
        <v>6</v>
      </c>
      <c r="C11" s="140" t="s">
        <v>59</v>
      </c>
      <c r="D11" s="141">
        <f>SUM('z15'!F24)</f>
        <v>3187</v>
      </c>
      <c r="E11" s="142">
        <f>SUM('z15'!G24)</f>
        <v>2387</v>
      </c>
      <c r="F11" s="143">
        <f>SUM('z15'!H24)</f>
        <v>1763</v>
      </c>
      <c r="G11" s="144">
        <f t="shared" si="0"/>
        <v>73.858399664851277</v>
      </c>
      <c r="H11" s="145">
        <f t="shared" si="1"/>
        <v>34958.30969937607</v>
      </c>
      <c r="I11" s="144">
        <f>SUM('z15'!E24)</f>
        <v>61631.500000000007</v>
      </c>
      <c r="J11" s="141">
        <f t="shared" si="2"/>
        <v>61631500.000000007</v>
      </c>
      <c r="K11" s="146">
        <f t="shared" si="3"/>
        <v>19338.406024474429</v>
      </c>
    </row>
    <row r="12" spans="2:11" ht="15" customHeight="1" thickBot="1" x14ac:dyDescent="0.25">
      <c r="B12" s="139">
        <v>7</v>
      </c>
      <c r="C12" s="140" t="s">
        <v>11</v>
      </c>
      <c r="D12" s="141">
        <f>SUM('z15'!F17)</f>
        <v>601</v>
      </c>
      <c r="E12" s="142">
        <f>SUM('z15'!G17)</f>
        <v>269</v>
      </c>
      <c r="F12" s="143">
        <f>SUM('z15'!H17)</f>
        <v>249</v>
      </c>
      <c r="G12" s="144">
        <f>SUM(F12/E12)*100</f>
        <v>92.565055762081784</v>
      </c>
      <c r="H12" s="145">
        <f>SUM(J12/F12)</f>
        <v>16274.69879518072</v>
      </c>
      <c r="I12" s="144">
        <f>SUM('z15'!E17)</f>
        <v>4052.3999999999996</v>
      </c>
      <c r="J12" s="141">
        <f>SUM(I12*1000)</f>
        <v>4052399.9999999995</v>
      </c>
      <c r="K12" s="146">
        <f>SUM(J12/D12)</f>
        <v>6742.7620632279522</v>
      </c>
    </row>
    <row r="13" spans="2:11" ht="15" thickBot="1" x14ac:dyDescent="0.25">
      <c r="B13" s="334">
        <v>8</v>
      </c>
      <c r="C13" s="335" t="s">
        <v>305</v>
      </c>
      <c r="D13" s="336">
        <f>SUM(D6:D11)</f>
        <v>36658</v>
      </c>
      <c r="E13" s="337">
        <f>SUM(E6:E11)</f>
        <v>26927</v>
      </c>
      <c r="F13" s="338">
        <f>SUM(F6:F11)</f>
        <v>20007</v>
      </c>
      <c r="G13" s="339">
        <f t="shared" si="0"/>
        <v>74.300887584951909</v>
      </c>
      <c r="H13" s="340">
        <f>SUM(J13/F13)</f>
        <v>13907.527365422102</v>
      </c>
      <c r="I13" s="339">
        <f>SUM(I6:I11)</f>
        <v>278247.90000000002</v>
      </c>
      <c r="J13" s="336">
        <f>SUM(I13*1000)</f>
        <v>278247900</v>
      </c>
      <c r="K13" s="342">
        <f>SUM(J13/D13)</f>
        <v>7590.373179115064</v>
      </c>
    </row>
    <row r="14" spans="2:11" ht="15" thickBot="1" x14ac:dyDescent="0.25">
      <c r="B14" s="334">
        <v>9</v>
      </c>
      <c r="C14" s="335" t="s">
        <v>309</v>
      </c>
      <c r="D14" s="336">
        <f>SUM(D6:D12)</f>
        <v>37259</v>
      </c>
      <c r="E14" s="337">
        <f>SUM(E6:E12)</f>
        <v>27196</v>
      </c>
      <c r="F14" s="338">
        <f>SUM(F6:F12)</f>
        <v>20256</v>
      </c>
      <c r="G14" s="339">
        <f>SUM(F14/E14)*100</f>
        <v>74.481541403147517</v>
      </c>
      <c r="H14" s="340">
        <f>SUM(J14/F14)</f>
        <v>13936.626184834126</v>
      </c>
      <c r="I14" s="339">
        <f>SUM(I6:I12)</f>
        <v>282300.30000000005</v>
      </c>
      <c r="J14" s="336">
        <f>SUM(I14*1000)</f>
        <v>282300300.00000006</v>
      </c>
      <c r="K14" s="342">
        <f>SUM(J14/D14)</f>
        <v>7576.700931318609</v>
      </c>
    </row>
    <row r="15" spans="2:11" x14ac:dyDescent="0.2">
      <c r="I15" s="129"/>
      <c r="J15" s="128"/>
    </row>
    <row r="16" spans="2:11" x14ac:dyDescent="0.2">
      <c r="F16" s="127"/>
      <c r="I16" s="129"/>
      <c r="J16" s="130"/>
    </row>
    <row r="17" spans="6:6" x14ac:dyDescent="0.2">
      <c r="F17" s="127"/>
    </row>
    <row r="33" spans="6:6" ht="15" x14ac:dyDescent="0.2">
      <c r="F33" s="148"/>
    </row>
    <row r="34" spans="6:6" x14ac:dyDescent="0.2">
      <c r="F34" s="127"/>
    </row>
    <row r="35" spans="6:6" x14ac:dyDescent="0.2">
      <c r="F35" s="127"/>
    </row>
  </sheetData>
  <mergeCells count="1">
    <mergeCell ref="C2:C5"/>
  </mergeCells>
  <pageMargins left="0.7" right="0.7" top="0.75" bottom="0.75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7">
    <tabColor theme="9" tint="0.59999389629810485"/>
    <pageSetUpPr fitToPage="1"/>
  </sheetPr>
  <dimension ref="B1:R48"/>
  <sheetViews>
    <sheetView zoomScale="80" zoomScaleNormal="80" workbookViewId="0">
      <selection activeCell="B1" sqref="B1"/>
    </sheetView>
  </sheetViews>
  <sheetFormatPr defaultRowHeight="15" x14ac:dyDescent="0.25"/>
  <cols>
    <col min="1" max="1" width="3.140625" style="15" customWidth="1"/>
    <col min="2" max="2" width="56" style="15" customWidth="1"/>
    <col min="3" max="3" width="22.28515625" style="15" customWidth="1"/>
    <col min="4" max="4" width="7.42578125" style="15" customWidth="1"/>
    <col min="5" max="5" width="58" style="15" customWidth="1"/>
    <col min="6" max="6" width="13.7109375" style="15" customWidth="1"/>
    <col min="7" max="7" width="3.85546875" style="15" customWidth="1"/>
    <col min="8" max="8" width="58.140625" style="15" customWidth="1"/>
    <col min="9" max="9" width="15.85546875" style="15" customWidth="1"/>
    <col min="10" max="10" width="7.85546875" style="15" customWidth="1"/>
    <col min="11" max="11" width="3.7109375" style="15" customWidth="1"/>
    <col min="12" max="12" width="12.5703125" style="15" customWidth="1"/>
    <col min="13" max="13" width="9.7109375" style="15" customWidth="1"/>
    <col min="14" max="14" width="9.85546875" style="15" customWidth="1"/>
    <col min="15" max="15" width="9" style="15" customWidth="1"/>
    <col min="16" max="16" width="9.7109375" style="15" customWidth="1"/>
    <col min="17" max="16384" width="9.140625" style="15"/>
  </cols>
  <sheetData>
    <row r="1" spans="2:18" ht="34.5" customHeight="1" x14ac:dyDescent="0.25">
      <c r="B1" s="250" t="s">
        <v>188</v>
      </c>
      <c r="M1" s="249" t="s">
        <v>379</v>
      </c>
    </row>
    <row r="2" spans="2:18" ht="52.5" customHeight="1" x14ac:dyDescent="0.25">
      <c r="B2" s="345" t="s">
        <v>168</v>
      </c>
      <c r="C2" s="345" t="s">
        <v>310</v>
      </c>
      <c r="M2" s="445" t="s">
        <v>187</v>
      </c>
      <c r="N2" s="446" t="s">
        <v>197</v>
      </c>
      <c r="O2" s="446" t="s">
        <v>198</v>
      </c>
      <c r="P2" s="447" t="str">
        <f>T('18r'!J3)</f>
        <v>KOSZTY w pełnych zł.</v>
      </c>
      <c r="Q2" s="447" t="str">
        <f>T('18r'!I3)</f>
        <v>KOSZTY (w tys. zł.)</v>
      </c>
      <c r="R2" s="447" t="str">
        <f>T('18r'!K3)</f>
        <v>koszt uczestn. 1 os. bezr.</v>
      </c>
    </row>
    <row r="3" spans="2:18" ht="12" customHeight="1" x14ac:dyDescent="0.25">
      <c r="B3" s="50" t="str">
        <f>INDEX('21r'!C6:K14,MATCH(1,N3:N11,0),1)</f>
        <v>Dofinansowanie działalności gospodarczej</v>
      </c>
      <c r="C3" s="49">
        <f>INDEX('22r'!C6:K14,MATCH(1,N3:N11,0),5)</f>
        <v>95.395869191049911</v>
      </c>
      <c r="M3" s="445">
        <v>1</v>
      </c>
      <c r="N3" s="16">
        <f>RANK('22r'!G6,'22r'!G6:G14)</f>
        <v>9</v>
      </c>
      <c r="O3" s="16">
        <f>RANK('22r'!H6,'22r'!H6:H14)</f>
        <v>9</v>
      </c>
      <c r="P3" s="16">
        <f>RANK('22r'!I6,'22r'!I6:I14)</f>
        <v>9</v>
      </c>
      <c r="Q3" s="16">
        <f>RANK('22r'!J6,'22r'!J6:J14)</f>
        <v>9</v>
      </c>
      <c r="R3" s="16">
        <f>RANK('22r'!K6,'22r'!K6:K14)</f>
        <v>9</v>
      </c>
    </row>
    <row r="4" spans="2:18" ht="12" customHeight="1" x14ac:dyDescent="0.25">
      <c r="B4" s="50" t="str">
        <f>INDEX('21r'!C6:K14,MATCH(2,N3:N11,0),1)</f>
        <v>Roboty publiczne</v>
      </c>
      <c r="C4" s="49">
        <f>INDEX('22r'!C6:K14,MATCH(2,N3:N11,0),5)</f>
        <v>94.23585404547859</v>
      </c>
      <c r="M4" s="445">
        <v>2</v>
      </c>
      <c r="N4" s="16">
        <f>RANK('22r'!G7,'22r'!G6:G14)</f>
        <v>8</v>
      </c>
      <c r="O4" s="16">
        <f>RANK('22r'!H7,'22r'!H6:H14)</f>
        <v>6</v>
      </c>
      <c r="P4" s="16">
        <f>RANK('22r'!I7,'22r'!I6:I14)</f>
        <v>3</v>
      </c>
      <c r="Q4" s="16">
        <f>RANK('22r'!J7,'22r'!J6:J14)</f>
        <v>3</v>
      </c>
      <c r="R4" s="16">
        <f>RANK('21r'!K7,'21r'!K6:K14)</f>
        <v>7</v>
      </c>
    </row>
    <row r="5" spans="2:18" ht="12" customHeight="1" x14ac:dyDescent="0.25">
      <c r="B5" s="50" t="str">
        <f>INDEX('21r'!C6:K14,MATCH(3,N3:N11,0),1)</f>
        <v>Prace interwencyjne</v>
      </c>
      <c r="C5" s="49">
        <f>INDEX('22r'!C6:K14,MATCH(3,N3:N11,0),5)</f>
        <v>93.357320786050366</v>
      </c>
      <c r="M5" s="445">
        <v>3</v>
      </c>
      <c r="N5" s="16">
        <f>RANK('22r'!G8,'22r'!G6:G14)</f>
        <v>3</v>
      </c>
      <c r="O5" s="16">
        <f>RANK('22r'!H8,'22r'!H6:H14)</f>
        <v>8</v>
      </c>
      <c r="P5" s="16">
        <f>RANK('22r'!I8,'22r'!I6:I14)</f>
        <v>7</v>
      </c>
      <c r="Q5" s="16">
        <f>RANK('22r'!J8,'22r'!J6:J14)</f>
        <v>7</v>
      </c>
      <c r="R5" s="16">
        <f>RANK('21r'!K8,'21r'!K6:K14)</f>
        <v>8</v>
      </c>
    </row>
    <row r="6" spans="2:18" ht="12.75" customHeight="1" x14ac:dyDescent="0.25">
      <c r="B6" s="50" t="str">
        <f>INDEX('21r'!C6:K14,MATCH(4,N3:N11,0),1)</f>
        <v>Bon na zasiedlenie</v>
      </c>
      <c r="C6" s="49">
        <f>INDEX('22r'!C6:K14,MATCH(4,N3:N11,0),5)</f>
        <v>91.208791208791212</v>
      </c>
      <c r="M6" s="445">
        <v>4</v>
      </c>
      <c r="N6" s="16">
        <f>RANK('22r'!G9,'22r'!G6:G14)</f>
        <v>2</v>
      </c>
      <c r="O6" s="16">
        <f>RANK('22r'!H9,'22r'!H6:H14)</f>
        <v>5</v>
      </c>
      <c r="P6" s="16">
        <f>RANK('22r'!I9,'22r'!I6:I14)</f>
        <v>6</v>
      </c>
      <c r="Q6" s="16">
        <f>RANK('22r'!J9,'22r'!J6:J14)</f>
        <v>6</v>
      </c>
      <c r="R6" s="16">
        <f>RANK('21r'!K9,'21r'!K6:K14)</f>
        <v>3</v>
      </c>
    </row>
    <row r="7" spans="2:18" ht="12" customHeight="1" x14ac:dyDescent="0.25">
      <c r="B7" s="50" t="str">
        <f>INDEX('21r'!C6:K14,MATCH(5,N3:N11,0),1)</f>
        <v>Refundacja kosztów wyposażenia lub doposażenia miejsca pracy</v>
      </c>
      <c r="C7" s="49">
        <f>INDEX('22r'!C6:K14,MATCH(5,N3:N11,0),5)</f>
        <v>90.28831562974203</v>
      </c>
      <c r="M7" s="445">
        <v>5</v>
      </c>
      <c r="N7" s="16">
        <f>RANK('22r'!G10,'22r'!G6:G14)</f>
        <v>1</v>
      </c>
      <c r="O7" s="16">
        <f>RANK('22r'!H10,'22r'!H6:H14)</f>
        <v>2</v>
      </c>
      <c r="P7" s="16">
        <f>RANK('22r'!I10,'22r'!I6:I14)</f>
        <v>4</v>
      </c>
      <c r="Q7" s="16">
        <f>RANK('22r'!J10,'22r'!J6:J14)</f>
        <v>4</v>
      </c>
      <c r="R7" s="16">
        <f>RANK('21r'!K10,'21r'!K6:K14)</f>
        <v>2</v>
      </c>
    </row>
    <row r="8" spans="2:18" ht="12.75" customHeight="1" x14ac:dyDescent="0.25">
      <c r="B8" s="50" t="str">
        <f>INDEX('21r'!C6:K14,MATCH(6,N3:N11,0),1)</f>
        <v>Razem 7 podstawowych form</v>
      </c>
      <c r="C8" s="49">
        <f>INDEX('22r'!C6:K14,MATCH(6,N3:N11,0),5)</f>
        <v>86.886017680598414</v>
      </c>
      <c r="M8" s="445">
        <v>6</v>
      </c>
      <c r="N8" s="16">
        <f>RANK('22r'!G11,'22r'!G6:G14)</f>
        <v>5</v>
      </c>
      <c r="O8" s="16">
        <f>RANK('22r'!H11,'22r'!H6:H14)</f>
        <v>1</v>
      </c>
      <c r="P8" s="16">
        <f>RANK('22r'!I11,'22r'!I6:I14)</f>
        <v>5</v>
      </c>
      <c r="Q8" s="16">
        <f>RANK('22r'!J11,'22r'!J6:J14)</f>
        <v>5</v>
      </c>
      <c r="R8" s="16">
        <f>RANK('21r'!K11,'21r'!K6:K14)</f>
        <v>1</v>
      </c>
    </row>
    <row r="9" spans="2:18" ht="12" customHeight="1" x14ac:dyDescent="0.25">
      <c r="B9" s="437" t="str">
        <f>INDEX('21r'!C6:K14,MATCH(7,N3:N11,0),1)</f>
        <v>Razem 6 form (do por.)</v>
      </c>
      <c r="C9" s="444">
        <f>INDEX('22r'!C6:K14,MATCH(7,N3:N11,0),5)</f>
        <v>86.64716272907927</v>
      </c>
      <c r="M9" s="445">
        <v>7</v>
      </c>
      <c r="N9" s="16">
        <f>RANK('22r'!G12,'22r'!G6:G14)</f>
        <v>4</v>
      </c>
      <c r="O9" s="16">
        <f>RANK('22r'!H12,'22r'!H6:H14)</f>
        <v>7</v>
      </c>
      <c r="P9" s="16">
        <f>RANK('22r'!I12,'22r'!I6:I14)</f>
        <v>8</v>
      </c>
      <c r="Q9" s="16">
        <f>RANK('22r'!J12,'22r'!J6:J14)</f>
        <v>8</v>
      </c>
      <c r="R9" s="16">
        <f>RANK('21r'!K12,'21r'!K6:K14)</f>
        <v>6</v>
      </c>
    </row>
    <row r="10" spans="2:18" ht="12" customHeight="1" x14ac:dyDescent="0.25">
      <c r="B10" s="50" t="str">
        <f>INDEX('21r'!C6:K14,MATCH(8,N3:N11,0),1)</f>
        <v>Staże</v>
      </c>
      <c r="C10" s="49">
        <f>INDEX('22r'!C6:K14,MATCH(8,N3:N11,0),5)</f>
        <v>85.071629401526309</v>
      </c>
      <c r="M10" s="445">
        <v>8</v>
      </c>
      <c r="N10" s="16">
        <f>RANK('22r'!G13,'22r'!G6:G14)</f>
        <v>7</v>
      </c>
      <c r="O10" s="16">
        <f>RANK('22r'!H13,'22r'!H6:H14)</f>
        <v>3</v>
      </c>
      <c r="P10" s="16">
        <f>RANK('22r'!I13,'22r'!I6:I14)</f>
        <v>2</v>
      </c>
      <c r="Q10" s="16">
        <f>RANK('22r'!J13,'22r'!J6:J14)</f>
        <v>2</v>
      </c>
      <c r="R10" s="16">
        <f>RANK('21r'!K13,'21r'!K6:K14)</f>
        <v>4</v>
      </c>
    </row>
    <row r="11" spans="2:18" ht="12" customHeight="1" x14ac:dyDescent="0.25">
      <c r="B11" s="50" t="str">
        <f>INDEX('21r'!C6:K14,MATCH(9,N3:N11,0),1)</f>
        <v>Szkolenia</v>
      </c>
      <c r="C11" s="49">
        <f>INDEX('22r'!C6:K14,MATCH(9,N3:N11,0),5)</f>
        <v>52.031978680879412</v>
      </c>
      <c r="M11" s="445">
        <v>9</v>
      </c>
      <c r="N11" s="16">
        <f>RANK('22r'!G14,'22r'!G6:G14)</f>
        <v>6</v>
      </c>
      <c r="O11" s="16">
        <f>RANK('22r'!H14,'22r'!H6:H14)</f>
        <v>4</v>
      </c>
      <c r="P11" s="16">
        <f>RANK('22r'!I14,'22r'!I6:I14)</f>
        <v>1</v>
      </c>
      <c r="Q11" s="16">
        <f>RANK('22r'!J14,'22r'!J6:J14)</f>
        <v>1</v>
      </c>
      <c r="R11" s="16">
        <f>RANK('21r'!K14,'21r'!K6:K14)</f>
        <v>5</v>
      </c>
    </row>
    <row r="12" spans="2:18" ht="36.75" customHeight="1" x14ac:dyDescent="0.25">
      <c r="B12" s="250" t="s">
        <v>189</v>
      </c>
    </row>
    <row r="13" spans="2:18" ht="43.5" customHeight="1" x14ac:dyDescent="0.25">
      <c r="B13" s="345" t="s">
        <v>168</v>
      </c>
      <c r="C13" s="345" t="s">
        <v>311</v>
      </c>
    </row>
    <row r="14" spans="2:18" ht="12.75" customHeight="1" x14ac:dyDescent="0.25">
      <c r="B14" s="50" t="str">
        <f>INDEX('21r'!C6:K14,MATCH(1,O3:O11,0),1)</f>
        <v>Refundacja kosztów wyposażenia lub doposażenia miejsca pracy</v>
      </c>
      <c r="C14" s="24">
        <f>INDEX('22r'!C6:K14,MATCH(1,O3:O11,0),6)</f>
        <v>53083.715462184882</v>
      </c>
    </row>
    <row r="15" spans="2:18" ht="11.25" customHeight="1" x14ac:dyDescent="0.25">
      <c r="B15" s="50" t="str">
        <f>INDEX('21r'!C6:K14,MATCH(2,O3:O11,0),1)</f>
        <v>Dofinansowanie działalności gospodarczej</v>
      </c>
      <c r="C15" s="24">
        <f>INDEX('22r'!C6:K14,MATCH(2,O3:O11,0),6)</f>
        <v>29182.742895805139</v>
      </c>
    </row>
    <row r="16" spans="2:18" ht="11.25" customHeight="1" x14ac:dyDescent="0.25">
      <c r="B16" s="437" t="str">
        <f>INDEX('21r'!C6:K14,MATCH(3,O3:O11,0),1)</f>
        <v>Razem 6 form (do por.)</v>
      </c>
      <c r="C16" s="443">
        <f>INDEX('22r'!C6:K14,MATCH(3,O3:O11,0),6)</f>
        <v>17604.605179970695</v>
      </c>
    </row>
    <row r="17" spans="2:4" ht="10.5" customHeight="1" x14ac:dyDescent="0.25">
      <c r="B17" s="50" t="str">
        <f>INDEX('21r'!C6:K14,MATCH(4,O3:O11,0),1)</f>
        <v>Razem 7 podstawowych form</v>
      </c>
      <c r="C17" s="24">
        <f>INDEX('22r'!C6:K14,MATCH(4,O3:O11,0),6)</f>
        <v>17253.479125827813</v>
      </c>
    </row>
    <row r="18" spans="2:4" ht="10.5" customHeight="1" x14ac:dyDescent="0.25">
      <c r="B18" s="50" t="str">
        <f>INDEX('21r'!C6:K14,MATCH(5,O3:O11,0),1)</f>
        <v>Roboty publiczne</v>
      </c>
      <c r="C18" s="24">
        <f>INDEX('22r'!C6:K14,MATCH(5,O3:O11,0),6)</f>
        <v>17225.128580246914</v>
      </c>
    </row>
    <row r="19" spans="2:4" ht="11.25" customHeight="1" x14ac:dyDescent="0.25">
      <c r="B19" s="50" t="str">
        <f>INDEX('21r'!C6:K14,MATCH(6,O3:O11,0),1)</f>
        <v>Staże</v>
      </c>
      <c r="C19" s="24">
        <f>INDEX('22r'!C6:K14,MATCH(6,O3:O11,0),6)</f>
        <v>13014.846298394712</v>
      </c>
    </row>
    <row r="20" spans="2:4" ht="10.5" customHeight="1" x14ac:dyDescent="0.25">
      <c r="B20" s="50" t="str">
        <f>INDEX('21r'!C6:K14,MATCH(7,O3:O11,0),1)</f>
        <v>Bon na zasiedlenie</v>
      </c>
      <c r="C20" s="24">
        <f>INDEX('22r'!C6:K14,MATCH(7,O3:O11,0),6)</f>
        <v>11216.649255202628</v>
      </c>
    </row>
    <row r="21" spans="2:4" ht="10.5" customHeight="1" x14ac:dyDescent="0.25">
      <c r="B21" s="50" t="str">
        <f>INDEX('21r'!C6:K14,MATCH(8,O3:O11,0),1)</f>
        <v>Prace interwencyjne</v>
      </c>
      <c r="C21" s="24">
        <f>INDEX('22r'!C6:K14,MATCH(8,O3:O11,0),6)</f>
        <v>8721.5238630299427</v>
      </c>
    </row>
    <row r="22" spans="2:4" ht="10.5" customHeight="1" x14ac:dyDescent="0.25">
      <c r="B22" s="50" t="str">
        <f>INDEX('21r'!C6:K14,MATCH(9,O3:O11,0),1)</f>
        <v>Szkolenia</v>
      </c>
      <c r="C22" s="24">
        <f>INDEX('22r'!C6:K14,MATCH(9,O3:O11,0),6)</f>
        <v>7250.3362483994897</v>
      </c>
    </row>
    <row r="24" spans="2:4" ht="30" x14ac:dyDescent="0.25">
      <c r="B24" s="346" t="s">
        <v>168</v>
      </c>
      <c r="C24" s="347" t="s">
        <v>164</v>
      </c>
      <c r="D24" s="348" t="s">
        <v>312</v>
      </c>
    </row>
    <row r="25" spans="2:4" ht="12.75" customHeight="1" x14ac:dyDescent="0.25">
      <c r="B25" s="50" t="str">
        <f>INDEX('21r'!C6:K14,MATCH(1,Q3:Q11,0),1)</f>
        <v>Razem 7 podstawowych form</v>
      </c>
      <c r="C25" s="246">
        <f>INDEX('22r'!C6:K14,MATCH(1,Q3:Q11,0),8)</f>
        <v>286580288.27999997</v>
      </c>
      <c r="D25" s="439"/>
    </row>
    <row r="26" spans="2:4" ht="11.25" customHeight="1" x14ac:dyDescent="0.25">
      <c r="B26" s="437" t="str">
        <f>INDEX('21r'!C6:K14,MATCH(2,Q3:Q11,0),1)</f>
        <v>Razem 6 form (do por.)</v>
      </c>
      <c r="C26" s="438">
        <f>INDEX('22r'!C6:K14,MATCH(2,Q3:Q11,0),8)</f>
        <v>276339487.50999999</v>
      </c>
      <c r="D26" s="439">
        <f>SUM(C26/C34)*100</f>
        <v>100</v>
      </c>
    </row>
    <row r="27" spans="2:4" ht="12" customHeight="1" x14ac:dyDescent="0.25">
      <c r="B27" s="50" t="str">
        <f>INDEX('21r'!C6:K14,MATCH(3,Q3:Q11,0),1)</f>
        <v>Staże</v>
      </c>
      <c r="C27" s="246">
        <f>INDEX('22r'!C6:K14,MATCH(3,Q3:Q11,0),8)</f>
        <v>82696333.379999995</v>
      </c>
      <c r="D27" s="5">
        <f>SUM(C27/C26)*100</f>
        <v>29.925630290896244</v>
      </c>
    </row>
    <row r="28" spans="2:4" ht="11.25" customHeight="1" x14ac:dyDescent="0.25">
      <c r="B28" s="50" t="str">
        <f>INDEX('21r'!C6:K14,MATCH(4,Q3:Q11,0),1)</f>
        <v>Dofinansowanie działalności gospodarczej</v>
      </c>
      <c r="C28" s="246">
        <f>INDEX('22r'!C6:K14,MATCH(4,Q3:Q11,0),8)</f>
        <v>64698140.999999993</v>
      </c>
      <c r="D28" s="5">
        <f>SUM(C28/C26)*100</f>
        <v>23.412557352180347</v>
      </c>
    </row>
    <row r="29" spans="2:4" ht="12" customHeight="1" x14ac:dyDescent="0.25">
      <c r="B29" s="50" t="str">
        <f>INDEX('21r'!C6:K14,MATCH(5,Q3:Q11,0),1)</f>
        <v>Refundacja kosztów wyposażenia lub doposażenia miejsca pracy</v>
      </c>
      <c r="C29" s="246">
        <f>INDEX('22r'!C6:K14,MATCH(5,Q3:Q11,0),8)</f>
        <v>63169621.400000006</v>
      </c>
      <c r="D29" s="5">
        <f>SUM(C29/C26)*100</f>
        <v>22.859426269187846</v>
      </c>
    </row>
    <row r="30" spans="2:4" ht="12" customHeight="1" x14ac:dyDescent="0.25">
      <c r="B30" s="50" t="str">
        <f>INDEX('21r'!C6:K14,MATCH(6,Q3:Q11,0),1)</f>
        <v>Roboty publiczne</v>
      </c>
      <c r="C30" s="246">
        <f>INDEX('22r'!C6:K14,MATCH(6,Q3:Q11,0),8)</f>
        <v>30695179.129999999</v>
      </c>
      <c r="D30" s="5">
        <f>SUM(C30/C26)*100</f>
        <v>11.107778843546281</v>
      </c>
    </row>
    <row r="31" spans="2:4" ht="12.75" customHeight="1" x14ac:dyDescent="0.25">
      <c r="B31" s="50" t="str">
        <f>INDEX('21r'!C6:K14,MATCH(7,Q3:Q11,0),1)</f>
        <v>Prace interwencyjne</v>
      </c>
      <c r="C31" s="246">
        <f>INDEX('22r'!C6:K14,MATCH(7,Q3:Q11,0),8)</f>
        <v>29417699.989999998</v>
      </c>
      <c r="D31" s="5">
        <f>SUM(C31/C26)*100</f>
        <v>10.645492707203291</v>
      </c>
    </row>
    <row r="32" spans="2:4" ht="12.75" customHeight="1" x14ac:dyDescent="0.25">
      <c r="B32" s="437" t="str">
        <f>INDEX('21r'!C6:K14,MATCH(8,Q3:Q11,0),1)</f>
        <v>Bon na zasiedlenie</v>
      </c>
      <c r="C32" s="438">
        <f>INDEX('22r'!C6:K14,MATCH(8,Q3:Q11,0),8)</f>
        <v>10240800.77</v>
      </c>
      <c r="D32" s="439"/>
    </row>
    <row r="33" spans="2:5" ht="12.75" customHeight="1" x14ac:dyDescent="0.25">
      <c r="B33" s="50" t="str">
        <f>INDEX('21r'!C6:K14,MATCH(9,Q3:Q11,0),1)</f>
        <v>Szkolenia</v>
      </c>
      <c r="C33" s="246">
        <f>INDEX('22r'!C6:K14,MATCH(9,Q3:Q11,0),8)</f>
        <v>5662512.6100000013</v>
      </c>
      <c r="D33" s="5">
        <f>SUM(C33/C26)*100</f>
        <v>2.0491145369859924</v>
      </c>
    </row>
    <row r="34" spans="2:5" x14ac:dyDescent="0.25">
      <c r="C34" s="247">
        <f>SUM(C27:C31,C33)</f>
        <v>276339487.50999999</v>
      </c>
      <c r="D34" s="31">
        <f>SUM(D27:D31,D33)</f>
        <v>100.00000000000001</v>
      </c>
    </row>
    <row r="35" spans="2:5" ht="28.5" customHeight="1" x14ac:dyDescent="0.25">
      <c r="C35" s="248"/>
    </row>
    <row r="36" spans="2:5" ht="12.75" customHeight="1" x14ac:dyDescent="0.25">
      <c r="B36" s="442" t="s">
        <v>168</v>
      </c>
      <c r="C36" s="441" t="s">
        <v>167</v>
      </c>
      <c r="D36" s="440" t="s">
        <v>312</v>
      </c>
    </row>
    <row r="37" spans="2:5" ht="12.75" customHeight="1" x14ac:dyDescent="0.25">
      <c r="B37" s="50" t="str">
        <f>INDEX('21r'!C6:K14,MATCH(1,P3:P11,0),1)</f>
        <v>Razem 7 podstawowych form</v>
      </c>
      <c r="C37" s="246">
        <f>INDEX('22r'!C6:K14,MATCH(1,P3:P11,0),7)</f>
        <v>286580.28827999998</v>
      </c>
      <c r="D37" s="439"/>
    </row>
    <row r="38" spans="2:5" ht="12" customHeight="1" x14ac:dyDescent="0.25">
      <c r="B38" s="437" t="str">
        <f>INDEX('21r'!C6:K14,MATCH(2,P3:P11,0),1)</f>
        <v>Razem 6 form (do por.)</v>
      </c>
      <c r="C38" s="438">
        <f>INDEX('22r'!C6:K14,MATCH(2,P3:P11,0),7)</f>
        <v>276339.48751000001</v>
      </c>
      <c r="D38" s="439">
        <f>(C46/C38)*100</f>
        <v>100</v>
      </c>
    </row>
    <row r="39" spans="2:5" ht="13.5" customHeight="1" x14ac:dyDescent="0.25">
      <c r="B39" s="50" t="str">
        <f>INDEX('21r'!C6:K14,MATCH(3,P3:P11,0),1)</f>
        <v>Staże</v>
      </c>
      <c r="C39" s="246">
        <f>INDEX('22r'!C6:K14,MATCH(3,P3:P11,0),7)</f>
        <v>82696.333379999996</v>
      </c>
      <c r="D39" s="5">
        <f>SUM(C39/C46)*100</f>
        <v>29.925630290896244</v>
      </c>
      <c r="E39" s="253">
        <v>1</v>
      </c>
    </row>
    <row r="40" spans="2:5" ht="15" customHeight="1" x14ac:dyDescent="0.25">
      <c r="B40" s="50" t="str">
        <f>INDEX('21r'!C6:K14,MATCH(4,P3:P11,0),1)</f>
        <v>Dofinansowanie działalności gospodarczej</v>
      </c>
      <c r="C40" s="246">
        <f>INDEX('22r'!C6:K14,MATCH(4,P3:P11,0),7)</f>
        <v>64698.140999999996</v>
      </c>
      <c r="D40" s="5">
        <f>SUM(C40/C46)*100</f>
        <v>23.412557352180347</v>
      </c>
      <c r="E40" s="253">
        <v>2</v>
      </c>
    </row>
    <row r="41" spans="2:5" ht="13.5" customHeight="1" x14ac:dyDescent="0.25">
      <c r="B41" s="50" t="str">
        <f>INDEX('21r'!C6:K14,MATCH(5,P3:P11,0),1)</f>
        <v>Refundacja kosztów wyposażenia lub doposażenia miejsca pracy</v>
      </c>
      <c r="C41" s="246">
        <f>INDEX('22r'!C6:K14,MATCH(5,P3:P11,0),7)</f>
        <v>63169.621400000004</v>
      </c>
      <c r="D41" s="5">
        <f>SUM(C41/C46)*100</f>
        <v>22.859426269187843</v>
      </c>
      <c r="E41" s="253">
        <v>3</v>
      </c>
    </row>
    <row r="42" spans="2:5" x14ac:dyDescent="0.25">
      <c r="B42" s="50" t="str">
        <f>INDEX('21r'!C6:K14,MATCH(6,P3:P11,0),1)</f>
        <v>Roboty publiczne</v>
      </c>
      <c r="C42" s="246">
        <f>INDEX('22r'!C6:K14,MATCH(6,P3:P11,0),7)</f>
        <v>30695.17913</v>
      </c>
      <c r="D42" s="5">
        <f>SUM(C42/C46)*100</f>
        <v>11.107778843546281</v>
      </c>
      <c r="E42" s="253">
        <v>4</v>
      </c>
    </row>
    <row r="43" spans="2:5" x14ac:dyDescent="0.25">
      <c r="B43" s="50" t="str">
        <f>INDEX('21r'!C6:K14,MATCH(7,P3:P11,0),1)</f>
        <v>Prace interwencyjne</v>
      </c>
      <c r="C43" s="246">
        <f>INDEX('22r'!C6:K14,MATCH(7,P3:P11,0),7)</f>
        <v>29417.699989999997</v>
      </c>
      <c r="D43" s="5">
        <f>SUM(C43/C46)*100</f>
        <v>10.645492707203291</v>
      </c>
      <c r="E43" s="253">
        <v>5</v>
      </c>
    </row>
    <row r="44" spans="2:5" ht="13.5" customHeight="1" x14ac:dyDescent="0.25">
      <c r="B44" s="437" t="str">
        <f>INDEX('21r'!C6:K14,MATCH(8,P3:P11,0),1)</f>
        <v>Bon na zasiedlenie</v>
      </c>
      <c r="C44" s="438">
        <f>INDEX('22r'!C6:K14,MATCH(8,P3:P11,0),7)</f>
        <v>10240.80077</v>
      </c>
      <c r="D44" s="439">
        <f>SUM(C44)/C37*100</f>
        <v>3.5734491131484738</v>
      </c>
      <c r="E44" s="253" t="s">
        <v>425</v>
      </c>
    </row>
    <row r="45" spans="2:5" ht="13.5" customHeight="1" x14ac:dyDescent="0.25">
      <c r="B45" s="50" t="str">
        <f>INDEX('21r'!C6:K14,MATCH(9,P3:P11,0),1)</f>
        <v>Szkolenia</v>
      </c>
      <c r="C45" s="246">
        <f>INDEX('22r'!C6:K14,MATCH(9,P3:P11,0),7)</f>
        <v>5662.5126100000016</v>
      </c>
      <c r="D45" s="5">
        <f>SUM(C45/C46)*100</f>
        <v>2.0491145369859924</v>
      </c>
      <c r="E45" s="253"/>
    </row>
    <row r="46" spans="2:5" x14ac:dyDescent="0.25">
      <c r="C46" s="247">
        <f>SUM(C39:C43,C45)</f>
        <v>276339.48751000001</v>
      </c>
      <c r="D46" s="31">
        <f>SUM(D39:D43,D45)</f>
        <v>100.00000000000001</v>
      </c>
    </row>
    <row r="47" spans="2:5" x14ac:dyDescent="0.25">
      <c r="C47" s="10" t="s">
        <v>324</v>
      </c>
      <c r="D47" s="31">
        <f>SUM(D27:D29)</f>
        <v>76.197613912264444</v>
      </c>
    </row>
    <row r="48" spans="2:5" x14ac:dyDescent="0.25">
      <c r="C48" s="10" t="s">
        <v>324</v>
      </c>
      <c r="D48" s="31">
        <f>SUM(D39:D41)</f>
        <v>76.197613912264444</v>
      </c>
    </row>
  </sheetData>
  <pageMargins left="0.7" right="0.7" top="0.75" bottom="0.75" header="0.3" footer="0.3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75</vt:i4>
      </vt:variant>
      <vt:variant>
        <vt:lpstr>Nazwane zakresy</vt:lpstr>
      </vt:variant>
      <vt:variant>
        <vt:i4>3</vt:i4>
      </vt:variant>
    </vt:vector>
  </HeadingPairs>
  <TitlesOfParts>
    <vt:vector size="78" baseType="lpstr">
      <vt:lpstr>22r</vt:lpstr>
      <vt:lpstr>21r</vt:lpstr>
      <vt:lpstr>20r</vt:lpstr>
      <vt:lpstr>19r</vt:lpstr>
      <vt:lpstr>18r</vt:lpstr>
      <vt:lpstr>17r</vt:lpstr>
      <vt:lpstr>16r</vt:lpstr>
      <vt:lpstr>15r</vt:lpstr>
      <vt:lpstr>15-21</vt:lpstr>
      <vt:lpstr>EKiZ</vt:lpstr>
      <vt:lpstr>a</vt:lpstr>
      <vt:lpstr>b</vt:lpstr>
      <vt:lpstr>c</vt:lpstr>
      <vt:lpstr>d</vt:lpstr>
      <vt:lpstr>e</vt:lpstr>
      <vt:lpstr>EZ2</vt:lpstr>
      <vt:lpstr>EZ1</vt:lpstr>
      <vt:lpstr>EZ</vt:lpstr>
      <vt:lpstr>1</vt:lpstr>
      <vt:lpstr>2</vt:lpstr>
      <vt:lpstr>3</vt:lpstr>
      <vt:lpstr>4</vt:lpstr>
      <vt:lpstr>5</vt:lpstr>
      <vt:lpstr>6</vt:lpstr>
      <vt:lpstr>7</vt:lpstr>
      <vt:lpstr>EK1</vt:lpstr>
      <vt:lpstr>EK</vt:lpstr>
      <vt:lpstr>I</vt:lpstr>
      <vt:lpstr>II</vt:lpstr>
      <vt:lpstr>III</vt:lpstr>
      <vt:lpstr>IV</vt:lpstr>
      <vt:lpstr>V</vt:lpstr>
      <vt:lpstr>VI</vt:lpstr>
      <vt:lpstr>VII</vt:lpstr>
      <vt:lpstr>z22</vt:lpstr>
      <vt:lpstr>z21</vt:lpstr>
      <vt:lpstr>z20</vt:lpstr>
      <vt:lpstr>z19</vt:lpstr>
      <vt:lpstr>z18</vt:lpstr>
      <vt:lpstr>z17</vt:lpstr>
      <vt:lpstr>z16</vt:lpstr>
      <vt:lpstr>z15</vt:lpstr>
      <vt:lpstr>P__</vt:lpstr>
      <vt:lpstr>W1</vt:lpstr>
      <vt:lpstr>W2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13w62</vt:lpstr>
      <vt:lpstr>14</vt:lpstr>
      <vt:lpstr>15</vt:lpstr>
      <vt:lpstr>16w63</vt:lpstr>
      <vt:lpstr>17</vt:lpstr>
      <vt:lpstr>18</vt:lpstr>
      <vt:lpstr>19</vt:lpstr>
      <vt:lpstr>20</vt:lpstr>
      <vt:lpstr>21</vt:lpstr>
      <vt:lpstr>61w07</vt:lpstr>
      <vt:lpstr>62</vt:lpstr>
      <vt:lpstr>63</vt:lpstr>
      <vt:lpstr>64w20</vt:lpstr>
      <vt:lpstr>prz.z</vt:lpstr>
      <vt:lpstr>21f</vt:lpstr>
      <vt:lpstr>20f</vt:lpstr>
      <vt:lpstr>19f</vt:lpstr>
      <vt:lpstr>18form</vt:lpstr>
      <vt:lpstr>prz.z!_ftn1</vt:lpstr>
      <vt:lpstr>prz.z!_ftnref1</vt:lpstr>
      <vt:lpstr>'19f'!page1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Piotr Kocaj</cp:lastModifiedBy>
  <cp:lastPrinted>2022-06-06T12:16:28Z</cp:lastPrinted>
  <dcterms:created xsi:type="dcterms:W3CDTF">2017-07-06T08:42:46Z</dcterms:created>
  <dcterms:modified xsi:type="dcterms:W3CDTF">2023-08-03T11:27:01Z</dcterms:modified>
</cp:coreProperties>
</file>